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2. I.névi módosítás\"/>
    </mc:Choice>
  </mc:AlternateContent>
  <xr:revisionPtr revIDLastSave="0" documentId="13_ncr:1_{2F30AB95-4833-4189-A3B2-730D3FCF2240}" xr6:coauthVersionLast="47" xr6:coauthVersionMax="47" xr10:uidLastSave="{00000000-0000-0000-0000-000000000000}"/>
  <bookViews>
    <workbookView xWindow="-108" yWindow="-108" windowWidth="23256" windowHeight="12576" tabRatio="608" activeTab="7" xr2:uid="{00000000-000D-0000-FFFF-FFFF00000000}"/>
  </bookViews>
  <sheets>
    <sheet name="1" sheetId="135" r:id="rId1"/>
    <sheet name="2" sheetId="157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táj1" sheetId="198" r:id="rId11"/>
    <sheet name="táj2" sheetId="199" r:id="rId12"/>
    <sheet name="táj3" sheetId="200" r:id="rId13"/>
    <sheet name="táj4" sheetId="201" r:id="rId14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táj1!$1:$2</definedName>
    <definedName name="_xlnm.Print_Titles" localSheetId="11">táj2!$1:$2</definedName>
    <definedName name="_xlnm.Print_Area" localSheetId="2">'3'!$A$1:$J$75</definedName>
    <definedName name="_xlnm.Print_Area" localSheetId="5">'6'!$A$1:$O$159</definedName>
    <definedName name="_xlnm.Print_Area" localSheetId="7">'8'!$A$1:$Q$739</definedName>
    <definedName name="_xlnm.Print_Area" localSheetId="10">táj1!$A$1:$O$159</definedName>
    <definedName name="_xlnm.Print_Area" localSheetId="11">táj2!$C$1:$R$738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12" i="194" l="1"/>
  <c r="Q606" i="199"/>
  <c r="I606" i="194"/>
  <c r="Q606" i="194" s="1"/>
  <c r="L499" i="194"/>
  <c r="Q207" i="194"/>
  <c r="N207" i="194"/>
  <c r="Q207" i="199"/>
  <c r="I720" i="194"/>
  <c r="L396" i="194"/>
  <c r="Q396" i="194" s="1"/>
  <c r="Q396" i="199"/>
  <c r="H80" i="193"/>
  <c r="G88" i="193"/>
  <c r="E80" i="193"/>
  <c r="H87" i="193"/>
  <c r="O87" i="198"/>
  <c r="F88" i="198"/>
  <c r="G88" i="198"/>
  <c r="H88" i="198"/>
  <c r="I88" i="198"/>
  <c r="J88" i="198"/>
  <c r="K88" i="198"/>
  <c r="L88" i="198"/>
  <c r="M88" i="198"/>
  <c r="N88" i="198"/>
  <c r="E88" i="198"/>
  <c r="I88" i="193"/>
  <c r="J88" i="193"/>
  <c r="K88" i="193"/>
  <c r="L88" i="193"/>
  <c r="O14" i="193"/>
  <c r="F15" i="193"/>
  <c r="O15" i="193" s="1"/>
  <c r="O14" i="198"/>
  <c r="O15" i="198"/>
  <c r="D6" i="135"/>
  <c r="I685" i="194"/>
  <c r="I543" i="194"/>
  <c r="M427" i="194"/>
  <c r="K167" i="194"/>
  <c r="K169" i="194"/>
  <c r="E36" i="157" l="1"/>
  <c r="E35" i="157"/>
  <c r="E29" i="157"/>
  <c r="E28" i="157"/>
  <c r="E23" i="157"/>
  <c r="E24" i="157"/>
  <c r="E22" i="157"/>
  <c r="E20" i="157"/>
  <c r="E15" i="157"/>
  <c r="E16" i="157"/>
  <c r="E17" i="157"/>
  <c r="E18" i="157"/>
  <c r="E14" i="157"/>
  <c r="E11" i="157"/>
  <c r="E5" i="157"/>
  <c r="E6" i="157"/>
  <c r="E7" i="157"/>
  <c r="E4" i="157"/>
  <c r="E26" i="157"/>
  <c r="D25" i="157"/>
  <c r="C25" i="157"/>
  <c r="N718" i="194"/>
  <c r="Q718" i="194" s="1"/>
  <c r="Q718" i="199"/>
  <c r="J715" i="194"/>
  <c r="L715" i="194"/>
  <c r="M715" i="194"/>
  <c r="O715" i="194"/>
  <c r="P715" i="194"/>
  <c r="I714" i="194"/>
  <c r="Q714" i="194" s="1"/>
  <c r="H715" i="199"/>
  <c r="I715" i="199"/>
  <c r="J715" i="199"/>
  <c r="K715" i="199"/>
  <c r="L715" i="199"/>
  <c r="M715" i="199"/>
  <c r="N715" i="199"/>
  <c r="O715" i="199"/>
  <c r="P715" i="199"/>
  <c r="G715" i="199"/>
  <c r="Q714" i="199"/>
  <c r="N691" i="194"/>
  <c r="N715" i="194" s="1"/>
  <c r="K676" i="194"/>
  <c r="N664" i="194"/>
  <c r="M620" i="194"/>
  <c r="K527" i="194"/>
  <c r="N526" i="194"/>
  <c r="L456" i="194"/>
  <c r="I439" i="194"/>
  <c r="Q395" i="199"/>
  <c r="M395" i="194"/>
  <c r="Q395" i="194" s="1"/>
  <c r="K325" i="194"/>
  <c r="I275" i="194"/>
  <c r="Q197" i="199"/>
  <c r="I216" i="194"/>
  <c r="L197" i="194"/>
  <c r="Q197" i="194" s="1"/>
  <c r="M184" i="194"/>
  <c r="Q184" i="194" s="1"/>
  <c r="Q184" i="199"/>
  <c r="H70" i="194"/>
  <c r="G70" i="194"/>
  <c r="E25" i="157" l="1"/>
  <c r="I155" i="193"/>
  <c r="O155" i="193" s="1"/>
  <c r="O155" i="198"/>
  <c r="J151" i="193"/>
  <c r="O151" i="193" s="1"/>
  <c r="F152" i="193"/>
  <c r="I152" i="193"/>
  <c r="L152" i="193"/>
  <c r="F152" i="198"/>
  <c r="G152" i="198"/>
  <c r="H152" i="198"/>
  <c r="I152" i="198"/>
  <c r="J152" i="198"/>
  <c r="K152" i="198"/>
  <c r="L152" i="198"/>
  <c r="M152" i="198"/>
  <c r="N152" i="198"/>
  <c r="E152" i="198"/>
  <c r="O151" i="198"/>
  <c r="G124" i="193"/>
  <c r="E44" i="193"/>
  <c r="E83" i="193"/>
  <c r="F38" i="193"/>
  <c r="G38" i="193"/>
  <c r="I38" i="193"/>
  <c r="J38" i="193"/>
  <c r="L38" i="193"/>
  <c r="N38" i="193"/>
  <c r="E38" i="193"/>
  <c r="K37" i="193"/>
  <c r="O37" i="193" s="1"/>
  <c r="F38" i="198"/>
  <c r="G38" i="198"/>
  <c r="H38" i="198"/>
  <c r="I38" i="198"/>
  <c r="J38" i="198"/>
  <c r="K38" i="198"/>
  <c r="L38" i="198"/>
  <c r="M38" i="198"/>
  <c r="N38" i="198"/>
  <c r="E38" i="198"/>
  <c r="O37" i="198"/>
  <c r="E73" i="195"/>
  <c r="L734" i="194"/>
  <c r="M733" i="194"/>
  <c r="K731" i="194"/>
  <c r="K730" i="194"/>
  <c r="K729" i="194"/>
  <c r="K728" i="194"/>
  <c r="K727" i="194"/>
  <c r="K726" i="194"/>
  <c r="K725" i="194"/>
  <c r="K723" i="194"/>
  <c r="L720" i="194"/>
  <c r="L717" i="194"/>
  <c r="I712" i="194"/>
  <c r="H712" i="194"/>
  <c r="G712" i="194"/>
  <c r="K711" i="194"/>
  <c r="K710" i="194"/>
  <c r="K709" i="194"/>
  <c r="K708" i="194"/>
  <c r="K707" i="194"/>
  <c r="I706" i="194"/>
  <c r="I705" i="194"/>
  <c r="K703" i="194"/>
  <c r="I701" i="194"/>
  <c r="K700" i="194"/>
  <c r="I699" i="194"/>
  <c r="K698" i="194"/>
  <c r="K696" i="194"/>
  <c r="K695" i="194"/>
  <c r="K693" i="194"/>
  <c r="I692" i="194"/>
  <c r="K691" i="194"/>
  <c r="I689" i="194"/>
  <c r="K688" i="194"/>
  <c r="K686" i="194"/>
  <c r="K685" i="194"/>
  <c r="H684" i="194"/>
  <c r="G684" i="194"/>
  <c r="K684" i="194"/>
  <c r="I683" i="194"/>
  <c r="H683" i="194"/>
  <c r="G683" i="194"/>
  <c r="K682" i="194"/>
  <c r="K681" i="194"/>
  <c r="K680" i="194"/>
  <c r="I680" i="194"/>
  <c r="I679" i="194"/>
  <c r="I678" i="194"/>
  <c r="K677" i="194"/>
  <c r="I676" i="194"/>
  <c r="K675" i="194"/>
  <c r="I675" i="194"/>
  <c r="H675" i="194"/>
  <c r="G675" i="194"/>
  <c r="K674" i="194"/>
  <c r="I674" i="194"/>
  <c r="H674" i="194"/>
  <c r="G674" i="194"/>
  <c r="N667" i="194"/>
  <c r="K664" i="194"/>
  <c r="P662" i="194"/>
  <c r="O661" i="194"/>
  <c r="I661" i="194"/>
  <c r="I659" i="194"/>
  <c r="K657" i="194"/>
  <c r="K655" i="194"/>
  <c r="I653" i="194"/>
  <c r="N651" i="194"/>
  <c r="I651" i="194"/>
  <c r="I650" i="194"/>
  <c r="I649" i="194"/>
  <c r="I648" i="194"/>
  <c r="K646" i="194"/>
  <c r="P645" i="194"/>
  <c r="K644" i="194"/>
  <c r="L640" i="194"/>
  <c r="L639" i="194"/>
  <c r="L637" i="194"/>
  <c r="L636" i="194"/>
  <c r="I636" i="194"/>
  <c r="I632" i="194"/>
  <c r="I633" i="194"/>
  <c r="I631" i="194"/>
  <c r="K629" i="194"/>
  <c r="K628" i="194"/>
  <c r="K627" i="194"/>
  <c r="I627" i="194"/>
  <c r="I625" i="194"/>
  <c r="I624" i="194"/>
  <c r="H624" i="194"/>
  <c r="G624" i="194"/>
  <c r="I622" i="194"/>
  <c r="L621" i="194"/>
  <c r="I621" i="194"/>
  <c r="I620" i="194"/>
  <c r="I619" i="194"/>
  <c r="L615" i="194"/>
  <c r="L614" i="194"/>
  <c r="L612" i="194"/>
  <c r="N611" i="194"/>
  <c r="I608" i="194"/>
  <c r="I605" i="194"/>
  <c r="I604" i="194"/>
  <c r="I603" i="194"/>
  <c r="I602" i="194"/>
  <c r="I601" i="194"/>
  <c r="I600" i="194"/>
  <c r="I599" i="194"/>
  <c r="I598" i="194"/>
  <c r="I597" i="194"/>
  <c r="K593" i="194"/>
  <c r="L592" i="194"/>
  <c r="L591" i="194"/>
  <c r="I591" i="194"/>
  <c r="I590" i="194"/>
  <c r="M589" i="194"/>
  <c r="L589" i="194"/>
  <c r="L588" i="194"/>
  <c r="L586" i="194"/>
  <c r="I586" i="194"/>
  <c r="I585" i="194"/>
  <c r="L584" i="194"/>
  <c r="H583" i="194"/>
  <c r="G583" i="194"/>
  <c r="I582" i="194"/>
  <c r="H582" i="194"/>
  <c r="G582" i="194"/>
  <c r="I581" i="194"/>
  <c r="H581" i="194"/>
  <c r="G581" i="194"/>
  <c r="L579" i="194"/>
  <c r="I579" i="194"/>
  <c r="L578" i="194"/>
  <c r="I578" i="194"/>
  <c r="H578" i="194"/>
  <c r="G578" i="194"/>
  <c r="M576" i="194"/>
  <c r="L576" i="194"/>
  <c r="I576" i="194"/>
  <c r="L575" i="194"/>
  <c r="I575" i="194"/>
  <c r="M574" i="194"/>
  <c r="L573" i="194"/>
  <c r="I573" i="194"/>
  <c r="M572" i="194"/>
  <c r="L572" i="194"/>
  <c r="I572" i="194"/>
  <c r="M571" i="194"/>
  <c r="L571" i="194"/>
  <c r="I571" i="194"/>
  <c r="H571" i="194"/>
  <c r="G571" i="194"/>
  <c r="L568" i="194"/>
  <c r="I568" i="194"/>
  <c r="L567" i="194"/>
  <c r="I567" i="194"/>
  <c r="H567" i="194"/>
  <c r="G567" i="194"/>
  <c r="H566" i="194"/>
  <c r="G566" i="194"/>
  <c r="I565" i="194"/>
  <c r="I564" i="194"/>
  <c r="H564" i="194"/>
  <c r="G564" i="194"/>
  <c r="I563" i="194"/>
  <c r="K715" i="194" l="1"/>
  <c r="H715" i="194"/>
  <c r="G715" i="194"/>
  <c r="I715" i="194"/>
  <c r="J152" i="193"/>
  <c r="K38" i="193"/>
  <c r="H563" i="194"/>
  <c r="G563" i="194"/>
  <c r="I562" i="194"/>
  <c r="L562" i="194"/>
  <c r="L561" i="194"/>
  <c r="I561" i="194"/>
  <c r="I560" i="194"/>
  <c r="L560" i="194"/>
  <c r="I559" i="194"/>
  <c r="I558" i="194"/>
  <c r="L558" i="194"/>
  <c r="L557" i="194"/>
  <c r="I557" i="194"/>
  <c r="L556" i="194"/>
  <c r="I556" i="194"/>
  <c r="H555" i="194"/>
  <c r="G555" i="194"/>
  <c r="L554" i="194"/>
  <c r="I554" i="194"/>
  <c r="H554" i="194"/>
  <c r="G554" i="194"/>
  <c r="N553" i="194"/>
  <c r="H553" i="194"/>
  <c r="G553" i="194"/>
  <c r="I552" i="194"/>
  <c r="L552" i="194"/>
  <c r="I551" i="194"/>
  <c r="L550" i="194"/>
  <c r="I550" i="194"/>
  <c r="H550" i="194"/>
  <c r="G550" i="194"/>
  <c r="L549" i="194"/>
  <c r="I549" i="194"/>
  <c r="H549" i="194"/>
  <c r="G549" i="194"/>
  <c r="L548" i="194"/>
  <c r="I548" i="194"/>
  <c r="L547" i="194"/>
  <c r="I547" i="194"/>
  <c r="H547" i="194"/>
  <c r="G547" i="194"/>
  <c r="L546" i="194"/>
  <c r="I546" i="194"/>
  <c r="L545" i="194"/>
  <c r="I545" i="194"/>
  <c r="H545" i="194"/>
  <c r="G545" i="194"/>
  <c r="L543" i="194"/>
  <c r="M531" i="194"/>
  <c r="I486" i="194"/>
  <c r="I540" i="194"/>
  <c r="L540" i="194"/>
  <c r="L539" i="194"/>
  <c r="L538" i="194"/>
  <c r="M537" i="194"/>
  <c r="M536" i="194"/>
  <c r="M535" i="194"/>
  <c r="L534" i="194"/>
  <c r="L533" i="194"/>
  <c r="L532" i="194"/>
  <c r="M530" i="194"/>
  <c r="M529" i="194"/>
  <c r="N527" i="194"/>
  <c r="M526" i="194"/>
  <c r="M525" i="194"/>
  <c r="M524" i="194"/>
  <c r="L523" i="194"/>
  <c r="M522" i="194"/>
  <c r="M521" i="194"/>
  <c r="M520" i="194"/>
  <c r="M519" i="194"/>
  <c r="I516" i="194"/>
  <c r="L513" i="194"/>
  <c r="L512" i="194"/>
  <c r="M511" i="194"/>
  <c r="L511" i="194"/>
  <c r="I511" i="194"/>
  <c r="L510" i="194"/>
  <c r="M508" i="194"/>
  <c r="M506" i="194"/>
  <c r="L504" i="194"/>
  <c r="M502" i="194"/>
  <c r="L502" i="194"/>
  <c r="M500" i="194"/>
  <c r="M499" i="194"/>
  <c r="L498" i="194"/>
  <c r="L497" i="194"/>
  <c r="L496" i="194"/>
  <c r="M494" i="194"/>
  <c r="M495" i="194"/>
  <c r="M493" i="194"/>
  <c r="L492" i="194"/>
  <c r="M490" i="194"/>
  <c r="L487" i="194"/>
  <c r="L486" i="194"/>
  <c r="L485" i="194"/>
  <c r="I485" i="194"/>
  <c r="L483" i="194"/>
  <c r="M482" i="194"/>
  <c r="M481" i="194"/>
  <c r="I481" i="194"/>
  <c r="L481" i="194"/>
  <c r="L479" i="194"/>
  <c r="L477" i="194"/>
  <c r="L476" i="194"/>
  <c r="I475" i="194"/>
  <c r="M475" i="194"/>
  <c r="L475" i="194"/>
  <c r="L474" i="194"/>
  <c r="M473" i="194"/>
  <c r="L473" i="194"/>
  <c r="I473" i="194"/>
  <c r="I469" i="194"/>
  <c r="N467" i="194"/>
  <c r="K467" i="194"/>
  <c r="I465" i="194"/>
  <c r="I464" i="194"/>
  <c r="I463" i="194"/>
  <c r="I462" i="194"/>
  <c r="L458" i="194"/>
  <c r="L457" i="194"/>
  <c r="J456" i="194"/>
  <c r="I456" i="194"/>
  <c r="L455" i="194"/>
  <c r="N453" i="194"/>
  <c r="L452" i="194"/>
  <c r="L450" i="194"/>
  <c r="L447" i="194"/>
  <c r="L446" i="194"/>
  <c r="L445" i="194"/>
  <c r="I445" i="194"/>
  <c r="M443" i="194"/>
  <c r="L441" i="194"/>
  <c r="L440" i="194"/>
  <c r="M439" i="194"/>
  <c r="M438" i="194"/>
  <c r="L437" i="194"/>
  <c r="L436" i="194"/>
  <c r="L435" i="194"/>
  <c r="M434" i="194"/>
  <c r="M432" i="194"/>
  <c r="M431" i="194"/>
  <c r="L430" i="194"/>
  <c r="M429" i="194"/>
  <c r="L428" i="194"/>
  <c r="L427" i="194"/>
  <c r="L426" i="194"/>
  <c r="M425" i="194"/>
  <c r="M424" i="194"/>
  <c r="M423" i="194"/>
  <c r="M422" i="194"/>
  <c r="M421" i="194"/>
  <c r="L420" i="194"/>
  <c r="M418" i="194"/>
  <c r="M417" i="194"/>
  <c r="M416" i="194"/>
  <c r="M415" i="194"/>
  <c r="L414" i="194"/>
  <c r="M413" i="194"/>
  <c r="L413" i="194"/>
  <c r="M412" i="194"/>
  <c r="L411" i="194"/>
  <c r="M410" i="194"/>
  <c r="M409" i="194"/>
  <c r="L409" i="194"/>
  <c r="M408" i="194"/>
  <c r="M407" i="194"/>
  <c r="L405" i="194"/>
  <c r="I404" i="194"/>
  <c r="M403" i="194"/>
  <c r="L402" i="194"/>
  <c r="M401" i="194"/>
  <c r="M400" i="194"/>
  <c r="M399" i="194"/>
  <c r="L399" i="194"/>
  <c r="I399" i="194"/>
  <c r="M398" i="194"/>
  <c r="L394" i="194"/>
  <c r="M393" i="194"/>
  <c r="M392" i="194"/>
  <c r="L391" i="194"/>
  <c r="M390" i="194"/>
  <c r="M389" i="194"/>
  <c r="M388" i="194"/>
  <c r="M386" i="194"/>
  <c r="M385" i="194"/>
  <c r="M384" i="194"/>
  <c r="L384" i="194"/>
  <c r="M383" i="194"/>
  <c r="L382" i="194"/>
  <c r="M380" i="194"/>
  <c r="M378" i="194"/>
  <c r="M377" i="194"/>
  <c r="M376" i="194"/>
  <c r="M375" i="194"/>
  <c r="M374" i="194"/>
  <c r="M373" i="194"/>
  <c r="M372" i="194"/>
  <c r="M371" i="194"/>
  <c r="M370" i="194"/>
  <c r="M369" i="194"/>
  <c r="M368" i="194"/>
  <c r="M367" i="194"/>
  <c r="I367" i="194"/>
  <c r="M365" i="194"/>
  <c r="L363" i="194"/>
  <c r="L362" i="194"/>
  <c r="L360" i="194"/>
  <c r="L358" i="194"/>
  <c r="L357" i="194"/>
  <c r="L354" i="194"/>
  <c r="M353" i="194"/>
  <c r="L352" i="194"/>
  <c r="L351" i="194"/>
  <c r="M350" i="194"/>
  <c r="L348" i="194"/>
  <c r="M347" i="194"/>
  <c r="M381" i="194"/>
  <c r="M387" i="194"/>
  <c r="M406" i="194"/>
  <c r="M419" i="194"/>
  <c r="M442" i="194"/>
  <c r="L359" i="194"/>
  <c r="L364" i="194"/>
  <c r="L379" i="194"/>
  <c r="I346" i="194"/>
  <c r="I325" i="194"/>
  <c r="K342" i="194"/>
  <c r="I340" i="194"/>
  <c r="I338" i="194"/>
  <c r="I336" i="194"/>
  <c r="K335" i="194"/>
  <c r="I335" i="194"/>
  <c r="H335" i="194"/>
  <c r="G335" i="194"/>
  <c r="I334" i="194"/>
  <c r="I333" i="194"/>
  <c r="I332" i="194"/>
  <c r="I331" i="194"/>
  <c r="I330" i="194"/>
  <c r="I329" i="194"/>
  <c r="I327" i="194"/>
  <c r="I326" i="194"/>
  <c r="I323" i="194"/>
  <c r="I322" i="194"/>
  <c r="I321" i="194"/>
  <c r="I320" i="194"/>
  <c r="I318" i="194"/>
  <c r="I316" i="194"/>
  <c r="I315" i="194"/>
  <c r="I314" i="194"/>
  <c r="I313" i="194"/>
  <c r="I312" i="194"/>
  <c r="I311" i="194"/>
  <c r="I310" i="194"/>
  <c r="I309" i="194"/>
  <c r="I308" i="194"/>
  <c r="I307" i="194"/>
  <c r="I306" i="194"/>
  <c r="I305" i="194"/>
  <c r="I304" i="194"/>
  <c r="I303" i="194"/>
  <c r="I302" i="194"/>
  <c r="K301" i="194"/>
  <c r="I300" i="194"/>
  <c r="I298" i="194"/>
  <c r="I296" i="194"/>
  <c r="I295" i="194"/>
  <c r="I294" i="194"/>
  <c r="I293" i="194"/>
  <c r="I292" i="194"/>
  <c r="I291" i="194"/>
  <c r="I290" i="194"/>
  <c r="I289" i="194"/>
  <c r="I288" i="194"/>
  <c r="I287" i="194"/>
  <c r="I286" i="194"/>
  <c r="I285" i="194"/>
  <c r="I284" i="194"/>
  <c r="I283" i="194"/>
  <c r="I282" i="194"/>
  <c r="I281" i="194"/>
  <c r="I279" i="194"/>
  <c r="I278" i="194"/>
  <c r="I277" i="194"/>
  <c r="K275" i="194"/>
  <c r="I273" i="194"/>
  <c r="I272" i="194"/>
  <c r="I271" i="194"/>
  <c r="I270" i="194"/>
  <c r="I269" i="194"/>
  <c r="I268" i="194"/>
  <c r="I267" i="194"/>
  <c r="I266" i="194"/>
  <c r="I265" i="194"/>
  <c r="I264" i="194"/>
  <c r="I263" i="194"/>
  <c r="I262" i="194"/>
  <c r="I261" i="194"/>
  <c r="K260" i="194"/>
  <c r="I260" i="194"/>
  <c r="I259" i="194"/>
  <c r="I257" i="194"/>
  <c r="I256" i="194"/>
  <c r="I255" i="194"/>
  <c r="I254" i="194"/>
  <c r="I253" i="194"/>
  <c r="I252" i="194"/>
  <c r="I251" i="194"/>
  <c r="I250" i="194"/>
  <c r="I249" i="194"/>
  <c r="I248" i="194"/>
  <c r="I247" i="194"/>
  <c r="I246" i="194"/>
  <c r="I245" i="194"/>
  <c r="I244" i="194"/>
  <c r="I243" i="194"/>
  <c r="I242" i="194"/>
  <c r="I241" i="194"/>
  <c r="I240" i="194"/>
  <c r="I239" i="194"/>
  <c r="I238" i="194"/>
  <c r="I237" i="194"/>
  <c r="I236" i="194"/>
  <c r="I235" i="194"/>
  <c r="I234" i="194"/>
  <c r="N230" i="194"/>
  <c r="L229" i="194"/>
  <c r="I225" i="194"/>
  <c r="I224" i="194"/>
  <c r="I223" i="194"/>
  <c r="I222" i="194"/>
  <c r="M218" i="194"/>
  <c r="L217" i="194"/>
  <c r="M216" i="194"/>
  <c r="M215" i="194"/>
  <c r="L214" i="194"/>
  <c r="L213" i="194"/>
  <c r="M212" i="194"/>
  <c r="I211" i="194"/>
  <c r="N210" i="194"/>
  <c r="L209" i="194"/>
  <c r="M206" i="194"/>
  <c r="L204" i="194"/>
  <c r="L203" i="194"/>
  <c r="M202" i="194"/>
  <c r="M201" i="194"/>
  <c r="M200" i="194"/>
  <c r="N199" i="194"/>
  <c r="M196" i="194"/>
  <c r="N195" i="194"/>
  <c r="M194" i="194"/>
  <c r="M193" i="194"/>
  <c r="N191" i="194"/>
  <c r="M190" i="194"/>
  <c r="M188" i="194"/>
  <c r="M187" i="194"/>
  <c r="N186" i="194"/>
  <c r="M183" i="194"/>
  <c r="M182" i="194"/>
  <c r="N181" i="194"/>
  <c r="N180" i="194"/>
  <c r="N179" i="194"/>
  <c r="M178" i="194"/>
  <c r="I178" i="194"/>
  <c r="K173" i="194"/>
  <c r="K172" i="194"/>
  <c r="K171" i="194"/>
  <c r="K170" i="194"/>
  <c r="I169" i="194"/>
  <c r="I167" i="194"/>
  <c r="K166" i="194"/>
  <c r="I166" i="194"/>
  <c r="H166" i="194"/>
  <c r="G166" i="194"/>
  <c r="K164" i="194"/>
  <c r="K165" i="194"/>
  <c r="K163" i="194"/>
  <c r="K162" i="194"/>
  <c r="K161" i="194"/>
  <c r="K159" i="194"/>
  <c r="K158" i="194"/>
  <c r="K157" i="194"/>
  <c r="K156" i="194"/>
  <c r="K155" i="194"/>
  <c r="K154" i="194"/>
  <c r="K153" i="194"/>
  <c r="K152" i="194"/>
  <c r="K151" i="194"/>
  <c r="K150" i="194"/>
  <c r="K149" i="194"/>
  <c r="K148" i="194"/>
  <c r="K147" i="194"/>
  <c r="K146" i="194"/>
  <c r="K145" i="194"/>
  <c r="K144" i="194"/>
  <c r="K143" i="194"/>
  <c r="N141" i="194"/>
  <c r="K141" i="194"/>
  <c r="I141" i="194"/>
  <c r="H141" i="194"/>
  <c r="G141" i="194"/>
  <c r="K140" i="194"/>
  <c r="K139" i="194"/>
  <c r="K138" i="194"/>
  <c r="K137" i="194"/>
  <c r="K136" i="194"/>
  <c r="K135" i="194"/>
  <c r="K134" i="194"/>
  <c r="K133" i="194"/>
  <c r="K131" i="194"/>
  <c r="K130" i="194"/>
  <c r="I129" i="194"/>
  <c r="H129" i="194"/>
  <c r="G129" i="194"/>
  <c r="I128" i="194"/>
  <c r="H128" i="194"/>
  <c r="G128" i="194"/>
  <c r="K126" i="194"/>
  <c r="K125" i="194"/>
  <c r="K124" i="194"/>
  <c r="K119" i="194"/>
  <c r="I117" i="194"/>
  <c r="K121" i="194"/>
  <c r="K160" i="194"/>
  <c r="I114" i="194"/>
  <c r="K113" i="194"/>
  <c r="K115" i="194"/>
  <c r="I113" i="194"/>
  <c r="H113" i="194"/>
  <c r="G113" i="194"/>
  <c r="K111" i="194"/>
  <c r="K110" i="194"/>
  <c r="I108" i="194"/>
  <c r="H108" i="194"/>
  <c r="G108" i="194"/>
  <c r="K106" i="194"/>
  <c r="I105" i="194"/>
  <c r="K102" i="194"/>
  <c r="K101" i="194"/>
  <c r="I99" i="194"/>
  <c r="I98" i="194"/>
  <c r="I97" i="194"/>
  <c r="I96" i="194"/>
  <c r="J95" i="194"/>
  <c r="K93" i="194"/>
  <c r="K92" i="194"/>
  <c r="K91" i="194"/>
  <c r="K90" i="194"/>
  <c r="K89" i="194"/>
  <c r="K88" i="194"/>
  <c r="K87" i="194"/>
  <c r="K86" i="194"/>
  <c r="K84" i="194"/>
  <c r="K83" i="194"/>
  <c r="K82" i="194"/>
  <c r="K81" i="194"/>
  <c r="K80" i="194"/>
  <c r="K79" i="194"/>
  <c r="K78" i="194"/>
  <c r="K77" i="194"/>
  <c r="I76" i="194"/>
  <c r="K75" i="194"/>
  <c r="K74" i="194"/>
  <c r="I73" i="194"/>
  <c r="K72" i="194"/>
  <c r="K71" i="194"/>
  <c r="K70" i="194"/>
  <c r="I68" i="194"/>
  <c r="K66" i="194"/>
  <c r="J66" i="194"/>
  <c r="I64" i="194"/>
  <c r="I63" i="194"/>
  <c r="H63" i="194"/>
  <c r="G63" i="194"/>
  <c r="K62" i="194"/>
  <c r="K61" i="194"/>
  <c r="I60" i="194"/>
  <c r="H60" i="194"/>
  <c r="G60" i="194"/>
  <c r="I59" i="194"/>
  <c r="H59" i="194"/>
  <c r="G59" i="194"/>
  <c r="K56" i="194"/>
  <c r="K55" i="194"/>
  <c r="I54" i="194"/>
  <c r="K53" i="194"/>
  <c r="H53" i="194"/>
  <c r="G53" i="194"/>
  <c r="I52" i="194"/>
  <c r="H52" i="194"/>
  <c r="G52" i="194"/>
  <c r="K51" i="194"/>
  <c r="K50" i="194"/>
  <c r="N45" i="194"/>
  <c r="N44" i="194"/>
  <c r="N42" i="194"/>
  <c r="K39" i="194"/>
  <c r="K37" i="194"/>
  <c r="I37" i="194"/>
  <c r="H37" i="194"/>
  <c r="G37" i="194"/>
  <c r="I35" i="194"/>
  <c r="I34" i="194"/>
  <c r="J33" i="194"/>
  <c r="I33" i="194"/>
  <c r="H33" i="194"/>
  <c r="I32" i="194"/>
  <c r="J30" i="194"/>
  <c r="I28" i="194"/>
  <c r="J26" i="194"/>
  <c r="J24" i="194"/>
  <c r="I24" i="194"/>
  <c r="J23" i="194"/>
  <c r="J22" i="194"/>
  <c r="J20" i="194"/>
  <c r="J18" i="194"/>
  <c r="J16" i="194"/>
  <c r="J15" i="194"/>
  <c r="J14" i="194"/>
  <c r="J13" i="194"/>
  <c r="J12" i="194"/>
  <c r="J10" i="194"/>
  <c r="J9" i="194"/>
  <c r="J7" i="194"/>
  <c r="E149" i="193"/>
  <c r="O149" i="193" s="1"/>
  <c r="E147" i="193"/>
  <c r="G145" i="193"/>
  <c r="G144" i="193"/>
  <c r="G143" i="193"/>
  <c r="G142" i="193"/>
  <c r="E139" i="193"/>
  <c r="E138" i="193"/>
  <c r="E137" i="193"/>
  <c r="G141" i="193"/>
  <c r="E136" i="193"/>
  <c r="N133" i="193"/>
  <c r="M133" i="193"/>
  <c r="M152" i="193" s="1"/>
  <c r="H132" i="193"/>
  <c r="K134" i="193"/>
  <c r="K152" i="193" s="1"/>
  <c r="H131" i="193"/>
  <c r="N129" i="193"/>
  <c r="N152" i="193" s="1"/>
  <c r="F125" i="193"/>
  <c r="H124" i="193"/>
  <c r="H123" i="193"/>
  <c r="G122" i="193"/>
  <c r="H121" i="193"/>
  <c r="E125" i="193"/>
  <c r="H120" i="193"/>
  <c r="N116" i="193"/>
  <c r="M116" i="193"/>
  <c r="K114" i="193"/>
  <c r="H111" i="193"/>
  <c r="H109" i="193"/>
  <c r="H107" i="193"/>
  <c r="H106" i="193"/>
  <c r="H105" i="193"/>
  <c r="H104" i="193"/>
  <c r="H103" i="193"/>
  <c r="H102" i="193"/>
  <c r="H101" i="193"/>
  <c r="H100" i="193"/>
  <c r="H99" i="193"/>
  <c r="H98" i="193"/>
  <c r="H97" i="193"/>
  <c r="H95" i="193"/>
  <c r="H93" i="193"/>
  <c r="I92" i="193"/>
  <c r="I91" i="193"/>
  <c r="M59" i="193"/>
  <c r="F86" i="193"/>
  <c r="E86" i="193"/>
  <c r="M85" i="193"/>
  <c r="M84" i="193"/>
  <c r="H83" i="193"/>
  <c r="F83" i="193"/>
  <c r="M82" i="193"/>
  <c r="M81" i="193"/>
  <c r="N80" i="193"/>
  <c r="M80" i="193"/>
  <c r="F80" i="193"/>
  <c r="M79" i="193"/>
  <c r="M78" i="193"/>
  <c r="N77" i="193"/>
  <c r="M77" i="193"/>
  <c r="H77" i="193"/>
  <c r="M76" i="193"/>
  <c r="H76" i="193"/>
  <c r="N75" i="193"/>
  <c r="M75" i="193"/>
  <c r="H75" i="193"/>
  <c r="M74" i="193"/>
  <c r="M73" i="193"/>
  <c r="M72" i="193"/>
  <c r="M71" i="193"/>
  <c r="M70" i="193"/>
  <c r="E70" i="193"/>
  <c r="M69" i="193"/>
  <c r="M68" i="193"/>
  <c r="H68" i="193"/>
  <c r="M67" i="193"/>
  <c r="M66" i="193"/>
  <c r="H66" i="193"/>
  <c r="M65" i="193"/>
  <c r="H65" i="193"/>
  <c r="N88" i="193" l="1"/>
  <c r="E88" i="193"/>
  <c r="G152" i="193"/>
  <c r="H152" i="193"/>
  <c r="E152" i="193"/>
  <c r="M64" i="193"/>
  <c r="F64" i="193"/>
  <c r="M63" i="193"/>
  <c r="H63" i="193"/>
  <c r="M62" i="193"/>
  <c r="F62" i="193"/>
  <c r="M61" i="193"/>
  <c r="M60" i="193"/>
  <c r="M58" i="193"/>
  <c r="M57" i="193"/>
  <c r="H58" i="193"/>
  <c r="M56" i="193"/>
  <c r="M55" i="193"/>
  <c r="F55" i="193"/>
  <c r="F54" i="193"/>
  <c r="M54" i="193"/>
  <c r="M53" i="193"/>
  <c r="F52" i="193"/>
  <c r="E52" i="193"/>
  <c r="M51" i="193"/>
  <c r="M50" i="193"/>
  <c r="E49" i="193"/>
  <c r="H47" i="193"/>
  <c r="F47" i="193"/>
  <c r="H46" i="193"/>
  <c r="F46" i="193"/>
  <c r="M45" i="193"/>
  <c r="H45" i="193"/>
  <c r="F45" i="193"/>
  <c r="M44" i="193"/>
  <c r="H44" i="193"/>
  <c r="M43" i="193"/>
  <c r="H43" i="193"/>
  <c r="H42" i="193"/>
  <c r="E45" i="193"/>
  <c r="F44" i="193"/>
  <c r="F88" i="193" s="1"/>
  <c r="M42" i="193"/>
  <c r="M88" i="193" s="1"/>
  <c r="H41" i="193"/>
  <c r="H35" i="193"/>
  <c r="M33" i="193"/>
  <c r="M38" i="193" s="1"/>
  <c r="H32" i="193"/>
  <c r="H31" i="193"/>
  <c r="H29" i="193"/>
  <c r="H28" i="193"/>
  <c r="H27" i="193"/>
  <c r="M23" i="193"/>
  <c r="H22" i="193"/>
  <c r="E18" i="193"/>
  <c r="E17" i="193"/>
  <c r="H13" i="193"/>
  <c r="E11" i="193"/>
  <c r="H7" i="193"/>
  <c r="I25" i="135"/>
  <c r="I22" i="135"/>
  <c r="I14" i="135"/>
  <c r="I15" i="135"/>
  <c r="I16" i="135"/>
  <c r="I17" i="135"/>
  <c r="I18" i="135"/>
  <c r="I19" i="135"/>
  <c r="I13" i="135"/>
  <c r="I9" i="135"/>
  <c r="I4" i="135"/>
  <c r="I5" i="135"/>
  <c r="I6" i="135"/>
  <c r="I7" i="135"/>
  <c r="I3" i="135"/>
  <c r="G20" i="135"/>
  <c r="G23" i="135" s="1"/>
  <c r="G8" i="135"/>
  <c r="G11" i="135" s="1"/>
  <c r="G24" i="135" s="1"/>
  <c r="G26" i="135" s="1"/>
  <c r="D25" i="135"/>
  <c r="D21" i="135"/>
  <c r="D20" i="135"/>
  <c r="D14" i="135"/>
  <c r="D15" i="135"/>
  <c r="D16" i="135"/>
  <c r="D13" i="135"/>
  <c r="D10" i="135"/>
  <c r="D9" i="135"/>
  <c r="D4" i="135"/>
  <c r="D5" i="135"/>
  <c r="D3" i="135"/>
  <c r="B17" i="135"/>
  <c r="B23" i="135" s="1"/>
  <c r="B7" i="135"/>
  <c r="B11" i="135" s="1"/>
  <c r="B24" i="135" s="1"/>
  <c r="B26" i="135" s="1"/>
  <c r="D37" i="157"/>
  <c r="D30" i="157"/>
  <c r="D19" i="157"/>
  <c r="D12" i="157"/>
  <c r="D8" i="157"/>
  <c r="C37" i="157"/>
  <c r="C30" i="157"/>
  <c r="C19" i="157"/>
  <c r="C12" i="157"/>
  <c r="C8" i="157"/>
  <c r="D22" i="139"/>
  <c r="D22" i="138"/>
  <c r="D31" i="157" l="1"/>
  <c r="D38" i="157" s="1"/>
  <c r="C31" i="157"/>
  <c r="C38" i="157" s="1"/>
  <c r="H38" i="193"/>
  <c r="N21" i="138"/>
  <c r="M21" i="138"/>
  <c r="I21" i="138"/>
  <c r="G21" i="138"/>
  <c r="H21" i="138"/>
  <c r="J21" i="138"/>
  <c r="K21" i="138"/>
  <c r="L21" i="138"/>
  <c r="O21" i="138"/>
  <c r="F21" i="138"/>
  <c r="N20" i="138"/>
  <c r="M20" i="138"/>
  <c r="I20" i="138"/>
  <c r="G20" i="138"/>
  <c r="H20" i="138"/>
  <c r="J20" i="138"/>
  <c r="K20" i="138"/>
  <c r="L20" i="138"/>
  <c r="O20" i="138"/>
  <c r="F20" i="138"/>
  <c r="N19" i="138"/>
  <c r="M19" i="138"/>
  <c r="I19" i="138"/>
  <c r="H19" i="138"/>
  <c r="J19" i="138"/>
  <c r="K19" i="138"/>
  <c r="L19" i="138"/>
  <c r="O19" i="138"/>
  <c r="G19" i="138"/>
  <c r="F19" i="138"/>
  <c r="N18" i="138"/>
  <c r="M18" i="138"/>
  <c r="I18" i="138"/>
  <c r="H18" i="138"/>
  <c r="J18" i="138"/>
  <c r="K18" i="138"/>
  <c r="L18" i="138"/>
  <c r="O18" i="138"/>
  <c r="G18" i="138"/>
  <c r="F18" i="138"/>
  <c r="N17" i="138"/>
  <c r="M17" i="138"/>
  <c r="I17" i="138"/>
  <c r="H17" i="138"/>
  <c r="J17" i="138"/>
  <c r="K17" i="138"/>
  <c r="L17" i="138"/>
  <c r="O17" i="138"/>
  <c r="G17" i="138"/>
  <c r="F17" i="138"/>
  <c r="N16" i="138"/>
  <c r="M16" i="138"/>
  <c r="I16" i="138"/>
  <c r="H16" i="138"/>
  <c r="J16" i="138"/>
  <c r="K16" i="138"/>
  <c r="L16" i="138"/>
  <c r="O16" i="138"/>
  <c r="G16" i="138"/>
  <c r="F16" i="138"/>
  <c r="N15" i="138"/>
  <c r="M15" i="138"/>
  <c r="I15" i="138"/>
  <c r="G15" i="138"/>
  <c r="H15" i="138"/>
  <c r="J15" i="138"/>
  <c r="K15" i="138"/>
  <c r="L15" i="138"/>
  <c r="O15" i="138"/>
  <c r="F15" i="138"/>
  <c r="N14" i="138"/>
  <c r="M14" i="138"/>
  <c r="I14" i="138"/>
  <c r="H14" i="138"/>
  <c r="J14" i="138"/>
  <c r="K14" i="138"/>
  <c r="L14" i="138"/>
  <c r="O14" i="138"/>
  <c r="G14" i="138"/>
  <c r="F14" i="138"/>
  <c r="N13" i="138"/>
  <c r="M13" i="138"/>
  <c r="I13" i="138"/>
  <c r="H13" i="138"/>
  <c r="J13" i="138"/>
  <c r="K13" i="138"/>
  <c r="L13" i="138"/>
  <c r="O13" i="138"/>
  <c r="G13" i="138"/>
  <c r="F13" i="138"/>
  <c r="N12" i="138"/>
  <c r="M12" i="138"/>
  <c r="I12" i="138"/>
  <c r="G12" i="138"/>
  <c r="H12" i="138"/>
  <c r="J12" i="138"/>
  <c r="K12" i="138"/>
  <c r="L12" i="138"/>
  <c r="O12" i="138"/>
  <c r="F12" i="138"/>
  <c r="N11" i="138"/>
  <c r="M11" i="138"/>
  <c r="I11" i="138"/>
  <c r="G11" i="138"/>
  <c r="H11" i="138"/>
  <c r="J11" i="138"/>
  <c r="K11" i="138"/>
  <c r="L11" i="138"/>
  <c r="O11" i="138"/>
  <c r="F11" i="138"/>
  <c r="N10" i="138"/>
  <c r="M10" i="138"/>
  <c r="I10" i="138"/>
  <c r="G10" i="138"/>
  <c r="H10" i="138"/>
  <c r="J10" i="138"/>
  <c r="K10" i="138"/>
  <c r="L10" i="138"/>
  <c r="O10" i="138"/>
  <c r="F10" i="138"/>
  <c r="N9" i="138"/>
  <c r="M9" i="138"/>
  <c r="I9" i="138"/>
  <c r="G9" i="138"/>
  <c r="H9" i="138"/>
  <c r="J9" i="138"/>
  <c r="K9" i="138"/>
  <c r="L9" i="138"/>
  <c r="O9" i="138"/>
  <c r="F9" i="138"/>
  <c r="N8" i="138"/>
  <c r="M8" i="138"/>
  <c r="I8" i="138"/>
  <c r="O7" i="138"/>
  <c r="G8" i="138"/>
  <c r="H8" i="138"/>
  <c r="J8" i="138"/>
  <c r="K8" i="138"/>
  <c r="L8" i="138"/>
  <c r="O8" i="138"/>
  <c r="F8" i="138"/>
  <c r="N7" i="138"/>
  <c r="M7" i="138"/>
  <c r="H7" i="138"/>
  <c r="I7" i="138"/>
  <c r="J7" i="138"/>
  <c r="K7" i="138"/>
  <c r="L7" i="138"/>
  <c r="G7" i="138"/>
  <c r="F7" i="138"/>
  <c r="N6" i="138"/>
  <c r="M6" i="138"/>
  <c r="K6" i="138"/>
  <c r="L6" i="138"/>
  <c r="J6" i="138"/>
  <c r="I6" i="138"/>
  <c r="H6" i="138"/>
  <c r="G6" i="138"/>
  <c r="F6" i="138"/>
  <c r="N5" i="138"/>
  <c r="M5" i="138"/>
  <c r="I5" i="138"/>
  <c r="G5" i="138"/>
  <c r="H5" i="138"/>
  <c r="J5" i="138"/>
  <c r="K5" i="138"/>
  <c r="L5" i="138"/>
  <c r="O5" i="138"/>
  <c r="F5" i="138"/>
  <c r="O4" i="138"/>
  <c r="N4" i="138"/>
  <c r="M4" i="138"/>
  <c r="I4" i="138"/>
  <c r="H4" i="138"/>
  <c r="J4" i="138"/>
  <c r="K4" i="138"/>
  <c r="L4" i="138"/>
  <c r="G4" i="138"/>
  <c r="F4" i="138"/>
  <c r="K21" i="139"/>
  <c r="J21" i="139"/>
  <c r="L21" i="139"/>
  <c r="M21" i="139"/>
  <c r="N21" i="139"/>
  <c r="I21" i="139"/>
  <c r="H21" i="139"/>
  <c r="G21" i="139"/>
  <c r="F21" i="139"/>
  <c r="K20" i="139"/>
  <c r="J20" i="139"/>
  <c r="L20" i="139"/>
  <c r="M20" i="139"/>
  <c r="N20" i="139"/>
  <c r="I20" i="139"/>
  <c r="H20" i="139"/>
  <c r="G20" i="139"/>
  <c r="F20" i="139"/>
  <c r="K19" i="139"/>
  <c r="J19" i="139"/>
  <c r="L19" i="139"/>
  <c r="M19" i="139"/>
  <c r="N19" i="139"/>
  <c r="I19" i="139"/>
  <c r="H19" i="139"/>
  <c r="G19" i="139"/>
  <c r="F19" i="139"/>
  <c r="K18" i="139"/>
  <c r="J18" i="139"/>
  <c r="L18" i="139"/>
  <c r="M18" i="139"/>
  <c r="N18" i="139"/>
  <c r="I18" i="139"/>
  <c r="H18" i="139"/>
  <c r="G18" i="139"/>
  <c r="F18" i="139"/>
  <c r="K17" i="139"/>
  <c r="J17" i="139"/>
  <c r="L17" i="139"/>
  <c r="M17" i="139"/>
  <c r="N17" i="139"/>
  <c r="I17" i="139"/>
  <c r="H17" i="139"/>
  <c r="G17" i="139"/>
  <c r="F17" i="139"/>
  <c r="L16" i="139"/>
  <c r="K16" i="139"/>
  <c r="J16" i="139"/>
  <c r="M16" i="139"/>
  <c r="N16" i="139"/>
  <c r="I16" i="139"/>
  <c r="H16" i="139"/>
  <c r="G16" i="139"/>
  <c r="F16" i="139"/>
  <c r="K15" i="139"/>
  <c r="J15" i="139"/>
  <c r="L15" i="139"/>
  <c r="M15" i="139"/>
  <c r="N15" i="139"/>
  <c r="I15" i="139"/>
  <c r="H15" i="139"/>
  <c r="G15" i="139"/>
  <c r="F15" i="139"/>
  <c r="K14" i="139"/>
  <c r="J14" i="139"/>
  <c r="L14" i="139"/>
  <c r="M14" i="139"/>
  <c r="N14" i="139"/>
  <c r="I14" i="139"/>
  <c r="H14" i="139"/>
  <c r="G14" i="139"/>
  <c r="F14" i="139"/>
  <c r="K13" i="139"/>
  <c r="J13" i="139"/>
  <c r="L13" i="139"/>
  <c r="M13" i="139"/>
  <c r="N13" i="139"/>
  <c r="I13" i="139"/>
  <c r="H13" i="139"/>
  <c r="G13" i="139"/>
  <c r="F13" i="139"/>
  <c r="K12" i="139"/>
  <c r="J12" i="139"/>
  <c r="L12" i="139"/>
  <c r="M12" i="139"/>
  <c r="N12" i="139"/>
  <c r="I12" i="139"/>
  <c r="H12" i="139"/>
  <c r="G12" i="139"/>
  <c r="F12" i="139"/>
  <c r="M11" i="139"/>
  <c r="N11" i="139"/>
  <c r="L11" i="139"/>
  <c r="K11" i="139"/>
  <c r="J11" i="139"/>
  <c r="I11" i="139"/>
  <c r="H11" i="139"/>
  <c r="G11" i="139"/>
  <c r="F11" i="139"/>
  <c r="M9" i="139"/>
  <c r="N9" i="139"/>
  <c r="M10" i="139"/>
  <c r="N10" i="139"/>
  <c r="L10" i="139"/>
  <c r="K10" i="139"/>
  <c r="J10" i="139"/>
  <c r="I10" i="139"/>
  <c r="H10" i="139"/>
  <c r="G10" i="139"/>
  <c r="F10" i="139"/>
  <c r="L9" i="139"/>
  <c r="K9" i="139"/>
  <c r="J9" i="139"/>
  <c r="I9" i="139"/>
  <c r="H9" i="139"/>
  <c r="G9" i="139"/>
  <c r="F9" i="139"/>
  <c r="G8" i="139"/>
  <c r="M8" i="139"/>
  <c r="N8" i="139"/>
  <c r="L8" i="139"/>
  <c r="K8" i="139"/>
  <c r="J8" i="139"/>
  <c r="I8" i="139"/>
  <c r="H8" i="139"/>
  <c r="F8" i="139"/>
  <c r="M7" i="139"/>
  <c r="N7" i="139"/>
  <c r="L7" i="139"/>
  <c r="K7" i="139"/>
  <c r="J7" i="139"/>
  <c r="I7" i="139"/>
  <c r="H7" i="139"/>
  <c r="G7" i="139"/>
  <c r="F7" i="139"/>
  <c r="N6" i="139"/>
  <c r="M6" i="139"/>
  <c r="L6" i="139"/>
  <c r="K6" i="139"/>
  <c r="J6" i="139"/>
  <c r="I6" i="139"/>
  <c r="H6" i="139"/>
  <c r="G6" i="139"/>
  <c r="F6" i="139"/>
  <c r="N5" i="139"/>
  <c r="M5" i="139"/>
  <c r="L5" i="139"/>
  <c r="K5" i="139"/>
  <c r="J5" i="139"/>
  <c r="I5" i="139"/>
  <c r="H5" i="139"/>
  <c r="G5" i="139"/>
  <c r="F5" i="139"/>
  <c r="N4" i="139"/>
  <c r="M4" i="139"/>
  <c r="L4" i="139"/>
  <c r="K4" i="139"/>
  <c r="J4" i="139"/>
  <c r="I4" i="139"/>
  <c r="H4" i="139"/>
  <c r="G4" i="139"/>
  <c r="F4" i="139"/>
  <c r="Q255" i="199"/>
  <c r="L22" i="201"/>
  <c r="K22" i="201"/>
  <c r="N737" i="199" s="1"/>
  <c r="J22" i="201"/>
  <c r="M737" i="199" s="1"/>
  <c r="I22" i="201"/>
  <c r="L737" i="199" s="1"/>
  <c r="H22" i="201"/>
  <c r="K737" i="199" s="1"/>
  <c r="G22" i="201"/>
  <c r="J737" i="199" s="1"/>
  <c r="F22" i="201"/>
  <c r="I737" i="199" s="1"/>
  <c r="E22" i="201"/>
  <c r="H737" i="199" s="1"/>
  <c r="D22" i="201"/>
  <c r="G737" i="199" s="1"/>
  <c r="M21" i="201"/>
  <c r="E21" i="139" s="1"/>
  <c r="M20" i="201"/>
  <c r="E20" i="139" s="1"/>
  <c r="M19" i="201"/>
  <c r="E19" i="139" s="1"/>
  <c r="M18" i="201"/>
  <c r="E18" i="139" s="1"/>
  <c r="M17" i="201"/>
  <c r="E17" i="139" s="1"/>
  <c r="M16" i="201"/>
  <c r="E16" i="139" s="1"/>
  <c r="M15" i="201"/>
  <c r="E15" i="139" s="1"/>
  <c r="M14" i="201"/>
  <c r="E14" i="139" s="1"/>
  <c r="M13" i="201"/>
  <c r="E13" i="139" s="1"/>
  <c r="M12" i="201"/>
  <c r="E12" i="139" s="1"/>
  <c r="M11" i="201"/>
  <c r="E11" i="139" s="1"/>
  <c r="M10" i="201"/>
  <c r="E10" i="139" s="1"/>
  <c r="M9" i="201"/>
  <c r="E9" i="139" s="1"/>
  <c r="M8" i="201"/>
  <c r="E8" i="139" s="1"/>
  <c r="M7" i="201"/>
  <c r="E7" i="139" s="1"/>
  <c r="M6" i="201"/>
  <c r="E6" i="139" s="1"/>
  <c r="M5" i="201"/>
  <c r="E5" i="139" s="1"/>
  <c r="M4" i="201"/>
  <c r="E4" i="139" s="1"/>
  <c r="M22" i="200"/>
  <c r="L22" i="200"/>
  <c r="K22" i="200"/>
  <c r="M158" i="198" s="1"/>
  <c r="J22" i="200"/>
  <c r="K158" i="198" s="1"/>
  <c r="I22" i="200"/>
  <c r="J158" i="198" s="1"/>
  <c r="H22" i="200"/>
  <c r="I158" i="198" s="1"/>
  <c r="G22" i="200"/>
  <c r="H158" i="198" s="1"/>
  <c r="F22" i="200"/>
  <c r="G158" i="198" s="1"/>
  <c r="E22" i="200"/>
  <c r="F158" i="198" s="1"/>
  <c r="D22" i="200"/>
  <c r="E158" i="198" s="1"/>
  <c r="N21" i="200"/>
  <c r="E21" i="138" s="1"/>
  <c r="N20" i="200"/>
  <c r="E20" i="138" s="1"/>
  <c r="N19" i="200"/>
  <c r="E19" i="138" s="1"/>
  <c r="N18" i="200"/>
  <c r="E18" i="138" s="1"/>
  <c r="N17" i="200"/>
  <c r="E17" i="138" s="1"/>
  <c r="N16" i="200"/>
  <c r="E16" i="138" s="1"/>
  <c r="N15" i="200"/>
  <c r="E15" i="138" s="1"/>
  <c r="N14" i="200"/>
  <c r="E14" i="138" s="1"/>
  <c r="N13" i="200"/>
  <c r="E13" i="138" s="1"/>
  <c r="N12" i="200"/>
  <c r="E12" i="138" s="1"/>
  <c r="N11" i="200"/>
  <c r="E11" i="138" s="1"/>
  <c r="N10" i="200"/>
  <c r="E10" i="138" s="1"/>
  <c r="N9" i="200"/>
  <c r="E9" i="138" s="1"/>
  <c r="N8" i="200"/>
  <c r="E8" i="138" s="1"/>
  <c r="N7" i="200"/>
  <c r="E7" i="138" s="1"/>
  <c r="N6" i="200"/>
  <c r="E6" i="138" s="1"/>
  <c r="N5" i="200"/>
  <c r="E5" i="138" s="1"/>
  <c r="N4" i="200"/>
  <c r="E4" i="138" s="1"/>
  <c r="P735" i="199"/>
  <c r="O735" i="199"/>
  <c r="N735" i="199"/>
  <c r="M735" i="199"/>
  <c r="L735" i="199"/>
  <c r="K735" i="199"/>
  <c r="J735" i="199"/>
  <c r="I735" i="199"/>
  <c r="H735" i="199"/>
  <c r="G735" i="199"/>
  <c r="Q734" i="199"/>
  <c r="Q733" i="199"/>
  <c r="Q731" i="199"/>
  <c r="Q730" i="199"/>
  <c r="Q729" i="199"/>
  <c r="Q728" i="199"/>
  <c r="Q727" i="199"/>
  <c r="Q726" i="199"/>
  <c r="Q725" i="199"/>
  <c r="Q723" i="199"/>
  <c r="Q720" i="199"/>
  <c r="Q717" i="199"/>
  <c r="P721" i="199"/>
  <c r="O721" i="199"/>
  <c r="N721" i="199"/>
  <c r="M721" i="199"/>
  <c r="L721" i="199"/>
  <c r="K721" i="199"/>
  <c r="J721" i="199"/>
  <c r="I721" i="199"/>
  <c r="H721" i="199"/>
  <c r="G721" i="199"/>
  <c r="Q712" i="199"/>
  <c r="Q711" i="199"/>
  <c r="Q710" i="199"/>
  <c r="Q709" i="199"/>
  <c r="Q708" i="199"/>
  <c r="Q707" i="199"/>
  <c r="Q706" i="199"/>
  <c r="Q705" i="199"/>
  <c r="Q703" i="199"/>
  <c r="Q701" i="199"/>
  <c r="Q700" i="199"/>
  <c r="Q699" i="199"/>
  <c r="Q698" i="199"/>
  <c r="Q696" i="199"/>
  <c r="Q695" i="199"/>
  <c r="Q693" i="199"/>
  <c r="Q692" i="199"/>
  <c r="Q691" i="199"/>
  <c r="Q689" i="199"/>
  <c r="Q688" i="199"/>
  <c r="Q686" i="199"/>
  <c r="Q685" i="199"/>
  <c r="Q684" i="199"/>
  <c r="Q683" i="199"/>
  <c r="Q682" i="199"/>
  <c r="Q681" i="199"/>
  <c r="Q680" i="199"/>
  <c r="Q679" i="199"/>
  <c r="Q678" i="199"/>
  <c r="Q677" i="199"/>
  <c r="Q676" i="199"/>
  <c r="Q675" i="199"/>
  <c r="Q674" i="199"/>
  <c r="Q667" i="199"/>
  <c r="P665" i="199"/>
  <c r="P668" i="199" s="1"/>
  <c r="O665" i="199"/>
  <c r="O668" i="199" s="1"/>
  <c r="N665" i="199"/>
  <c r="N668" i="199" s="1"/>
  <c r="M665" i="199"/>
  <c r="M668" i="199" s="1"/>
  <c r="L665" i="199"/>
  <c r="L668" i="199" s="1"/>
  <c r="K665" i="199"/>
  <c r="K668" i="199" s="1"/>
  <c r="J665" i="199"/>
  <c r="J668" i="199" s="1"/>
  <c r="I665" i="199"/>
  <c r="I668" i="199" s="1"/>
  <c r="H665" i="199"/>
  <c r="H668" i="199" s="1"/>
  <c r="G665" i="199"/>
  <c r="G668" i="199" s="1"/>
  <c r="Q664" i="199"/>
  <c r="Q662" i="199"/>
  <c r="Q661" i="199"/>
  <c r="Q659" i="199"/>
  <c r="Q657" i="199"/>
  <c r="Q655" i="199"/>
  <c r="Q653" i="199"/>
  <c r="Q651" i="199"/>
  <c r="Q650" i="199"/>
  <c r="Q649" i="199"/>
  <c r="Q648" i="199"/>
  <c r="Q646" i="199"/>
  <c r="Q645" i="199"/>
  <c r="Q644" i="199"/>
  <c r="Q640" i="199"/>
  <c r="Q639" i="199"/>
  <c r="Q637" i="199"/>
  <c r="Q636" i="199"/>
  <c r="P634" i="199"/>
  <c r="P641" i="199" s="1"/>
  <c r="O634" i="199"/>
  <c r="O641" i="199" s="1"/>
  <c r="N634" i="199"/>
  <c r="N641" i="199" s="1"/>
  <c r="M634" i="199"/>
  <c r="M641" i="199" s="1"/>
  <c r="L634" i="199"/>
  <c r="L641" i="199" s="1"/>
  <c r="K634" i="199"/>
  <c r="K641" i="199" s="1"/>
  <c r="J634" i="199"/>
  <c r="J641" i="199" s="1"/>
  <c r="I634" i="199"/>
  <c r="I641" i="199" s="1"/>
  <c r="H634" i="199"/>
  <c r="H641" i="199" s="1"/>
  <c r="G634" i="199"/>
  <c r="G641" i="199" s="1"/>
  <c r="Q633" i="199"/>
  <c r="Q632" i="199"/>
  <c r="Q631" i="199"/>
  <c r="Q629" i="199"/>
  <c r="Q628" i="199"/>
  <c r="Q627" i="199"/>
  <c r="Q625" i="199"/>
  <c r="Q624" i="199"/>
  <c r="Q622" i="199"/>
  <c r="Q621" i="199"/>
  <c r="Q620" i="199"/>
  <c r="Q619" i="199"/>
  <c r="Q615" i="199"/>
  <c r="Q614" i="199"/>
  <c r="Q612" i="199"/>
  <c r="Q611" i="199"/>
  <c r="P609" i="199"/>
  <c r="P616" i="199" s="1"/>
  <c r="O609" i="199"/>
  <c r="O616" i="199" s="1"/>
  <c r="N609" i="199"/>
  <c r="N616" i="199" s="1"/>
  <c r="M609" i="199"/>
  <c r="M616" i="199" s="1"/>
  <c r="L609" i="199"/>
  <c r="L616" i="199" s="1"/>
  <c r="K609" i="199"/>
  <c r="K616" i="199" s="1"/>
  <c r="J609" i="199"/>
  <c r="J616" i="199" s="1"/>
  <c r="I609" i="199"/>
  <c r="I616" i="199" s="1"/>
  <c r="H609" i="199"/>
  <c r="H616" i="199" s="1"/>
  <c r="G609" i="199"/>
  <c r="G616" i="199" s="1"/>
  <c r="Q608" i="199"/>
  <c r="Q605" i="199"/>
  <c r="Q604" i="199"/>
  <c r="Q603" i="199"/>
  <c r="Q602" i="199"/>
  <c r="Q601" i="199"/>
  <c r="Q600" i="199"/>
  <c r="Q599" i="199"/>
  <c r="Q598" i="199"/>
  <c r="Q597" i="199"/>
  <c r="Q593" i="199"/>
  <c r="Q592" i="199"/>
  <c r="Q591" i="199"/>
  <c r="Q590" i="199"/>
  <c r="Q589" i="199"/>
  <c r="Q588" i="199"/>
  <c r="Q586" i="199"/>
  <c r="Q585" i="199"/>
  <c r="Q584" i="199"/>
  <c r="Q583" i="199"/>
  <c r="Q582" i="199"/>
  <c r="Q581" i="199"/>
  <c r="Q579" i="199"/>
  <c r="Q578" i="199"/>
  <c r="Q576" i="199"/>
  <c r="Q575" i="199"/>
  <c r="Q574" i="199"/>
  <c r="Q573" i="199"/>
  <c r="Q572" i="199"/>
  <c r="Q571" i="199"/>
  <c r="Q568" i="199"/>
  <c r="Q567" i="199"/>
  <c r="Q566" i="199"/>
  <c r="Q565" i="199"/>
  <c r="Q564" i="199"/>
  <c r="Q563" i="199"/>
  <c r="Q562" i="199"/>
  <c r="Q561" i="199"/>
  <c r="Q560" i="199"/>
  <c r="Q559" i="199"/>
  <c r="Q558" i="199"/>
  <c r="Q557" i="199"/>
  <c r="Q556" i="199"/>
  <c r="Q555" i="199"/>
  <c r="Q554" i="199"/>
  <c r="Q553" i="199"/>
  <c r="Q552" i="199"/>
  <c r="Q551" i="199"/>
  <c r="Q550" i="199"/>
  <c r="Q549" i="199"/>
  <c r="Q548" i="199"/>
  <c r="Q547" i="199"/>
  <c r="Q546" i="199"/>
  <c r="Q545" i="199"/>
  <c r="Q543" i="199"/>
  <c r="Q540" i="199"/>
  <c r="Q539" i="199"/>
  <c r="Q538" i="199"/>
  <c r="Q537" i="199"/>
  <c r="Q536" i="199"/>
  <c r="Q535" i="199"/>
  <c r="Q534" i="199"/>
  <c r="Q533" i="199"/>
  <c r="Q532" i="199"/>
  <c r="Q531" i="199"/>
  <c r="Q530" i="199"/>
  <c r="Q529" i="199"/>
  <c r="Q527" i="199"/>
  <c r="Q526" i="199"/>
  <c r="Q525" i="199"/>
  <c r="Q524" i="199"/>
  <c r="Q523" i="199"/>
  <c r="Q522" i="199"/>
  <c r="Q521" i="199"/>
  <c r="Q520" i="199"/>
  <c r="Q519" i="199"/>
  <c r="Q516" i="199"/>
  <c r="Q513" i="199"/>
  <c r="Q512" i="199"/>
  <c r="Q511" i="199"/>
  <c r="Q510" i="199"/>
  <c r="Q508" i="199"/>
  <c r="Q506" i="199"/>
  <c r="Q504" i="199"/>
  <c r="Q502" i="199"/>
  <c r="Q500" i="199"/>
  <c r="Q499" i="199"/>
  <c r="Q498" i="199"/>
  <c r="Q497" i="199"/>
  <c r="Q496" i="199"/>
  <c r="Q495" i="199"/>
  <c r="Q494" i="199"/>
  <c r="Q493" i="199"/>
  <c r="Q492" i="199"/>
  <c r="Q490" i="199"/>
  <c r="Q487" i="199"/>
  <c r="Q486" i="199"/>
  <c r="Q485" i="199"/>
  <c r="Q483" i="199"/>
  <c r="Q482" i="199"/>
  <c r="Q481" i="199"/>
  <c r="Q479" i="199"/>
  <c r="Q477" i="199"/>
  <c r="Q476" i="199"/>
  <c r="Q475" i="199"/>
  <c r="Q474" i="199"/>
  <c r="Q473" i="199"/>
  <c r="P470" i="199"/>
  <c r="P594" i="199" s="1"/>
  <c r="O470" i="199"/>
  <c r="O594" i="199" s="1"/>
  <c r="N470" i="199"/>
  <c r="N594" i="199" s="1"/>
  <c r="M470" i="199"/>
  <c r="M594" i="199" s="1"/>
  <c r="L470" i="199"/>
  <c r="L594" i="199" s="1"/>
  <c r="K470" i="199"/>
  <c r="K594" i="199" s="1"/>
  <c r="J470" i="199"/>
  <c r="J594" i="199" s="1"/>
  <c r="I470" i="199"/>
  <c r="I594" i="199" s="1"/>
  <c r="H470" i="199"/>
  <c r="H594" i="199" s="1"/>
  <c r="G470" i="199"/>
  <c r="G594" i="199" s="1"/>
  <c r="Q469" i="199"/>
  <c r="Q467" i="199"/>
  <c r="Q465" i="199"/>
  <c r="Q464" i="199"/>
  <c r="Q463" i="199"/>
  <c r="Q462" i="199"/>
  <c r="Q458" i="199"/>
  <c r="Q457" i="199"/>
  <c r="Q456" i="199"/>
  <c r="Q455" i="199"/>
  <c r="Q453" i="199"/>
  <c r="Q452" i="199"/>
  <c r="Q450" i="199"/>
  <c r="Q447" i="199"/>
  <c r="Q446" i="199"/>
  <c r="Q445" i="199"/>
  <c r="Q443" i="199"/>
  <c r="Q442" i="199"/>
  <c r="Q441" i="199"/>
  <c r="Q440" i="199"/>
  <c r="Q439" i="199"/>
  <c r="Q438" i="199"/>
  <c r="Q437" i="199"/>
  <c r="Q436" i="199"/>
  <c r="Q435" i="199"/>
  <c r="Q434" i="199"/>
  <c r="Q432" i="199"/>
  <c r="Q431" i="199"/>
  <c r="Q430" i="199"/>
  <c r="Q429" i="199"/>
  <c r="Q428" i="199"/>
  <c r="Q427" i="199"/>
  <c r="Q426" i="199"/>
  <c r="Q425" i="199"/>
  <c r="Q424" i="199"/>
  <c r="Q423" i="199"/>
  <c r="Q422" i="199"/>
  <c r="Q421" i="199"/>
  <c r="Q420" i="199"/>
  <c r="Q419" i="199"/>
  <c r="Q418" i="199"/>
  <c r="Q417" i="199"/>
  <c r="Q416" i="199"/>
  <c r="Q415" i="199"/>
  <c r="Q414" i="199"/>
  <c r="Q413" i="199"/>
  <c r="Q412" i="199"/>
  <c r="Q411" i="199"/>
  <c r="Q410" i="199"/>
  <c r="Q409" i="199"/>
  <c r="Q408" i="199"/>
  <c r="Q407" i="199"/>
  <c r="Q406" i="199"/>
  <c r="Q405" i="199"/>
  <c r="Q404" i="199"/>
  <c r="Q403" i="199"/>
  <c r="Q402" i="199"/>
  <c r="Q401" i="199"/>
  <c r="Q400" i="199"/>
  <c r="Q399" i="199"/>
  <c r="Q398" i="199"/>
  <c r="Q394" i="199"/>
  <c r="Q393" i="199"/>
  <c r="Q392" i="199"/>
  <c r="Q391" i="199"/>
  <c r="Q390" i="199"/>
  <c r="Q389" i="199"/>
  <c r="Q388" i="199"/>
  <c r="Q387" i="199"/>
  <c r="Q386" i="199"/>
  <c r="Q385" i="199"/>
  <c r="Q384" i="199"/>
  <c r="Q383" i="199"/>
  <c r="Q382" i="199"/>
  <c r="Q381" i="199"/>
  <c r="Q380" i="199"/>
  <c r="Q379" i="199"/>
  <c r="Q378" i="199"/>
  <c r="Q377" i="199"/>
  <c r="Q376" i="199"/>
  <c r="Q375" i="199"/>
  <c r="Q374" i="199"/>
  <c r="Q373" i="199"/>
  <c r="Q372" i="199"/>
  <c r="Q371" i="199"/>
  <c r="Q370" i="199"/>
  <c r="Q369" i="199"/>
  <c r="Q368" i="199"/>
  <c r="Q367" i="199"/>
  <c r="Q365" i="199"/>
  <c r="Q364" i="199"/>
  <c r="Q363" i="199"/>
  <c r="Q362" i="199"/>
  <c r="Q360" i="199"/>
  <c r="Q359" i="199"/>
  <c r="Q358" i="199"/>
  <c r="Q357" i="199"/>
  <c r="Q354" i="199"/>
  <c r="Q353" i="199"/>
  <c r="Q352" i="199"/>
  <c r="Q351" i="199"/>
  <c r="Q350" i="199"/>
  <c r="Q348" i="199"/>
  <c r="Q347" i="199"/>
  <c r="Q346" i="199"/>
  <c r="P343" i="199"/>
  <c r="P459" i="199" s="1"/>
  <c r="O343" i="199"/>
  <c r="O459" i="199" s="1"/>
  <c r="N343" i="199"/>
  <c r="N459" i="199" s="1"/>
  <c r="M343" i="199"/>
  <c r="M459" i="199" s="1"/>
  <c r="L343" i="199"/>
  <c r="L459" i="199" s="1"/>
  <c r="K343" i="199"/>
  <c r="K459" i="199" s="1"/>
  <c r="J343" i="199"/>
  <c r="J459" i="199" s="1"/>
  <c r="I343" i="199"/>
  <c r="I459" i="199" s="1"/>
  <c r="H343" i="199"/>
  <c r="H459" i="199" s="1"/>
  <c r="G343" i="199"/>
  <c r="G459" i="199" s="1"/>
  <c r="Q342" i="199"/>
  <c r="Q340" i="199"/>
  <c r="Q338" i="199"/>
  <c r="Q336" i="199"/>
  <c r="Q335" i="199"/>
  <c r="Q334" i="199"/>
  <c r="Q333" i="199"/>
  <c r="Q332" i="199"/>
  <c r="Q331" i="199"/>
  <c r="Q330" i="199"/>
  <c r="Q329" i="199"/>
  <c r="Q327" i="199"/>
  <c r="Q326" i="199"/>
  <c r="Q325" i="199"/>
  <c r="Q323" i="199"/>
  <c r="Q322" i="199"/>
  <c r="Q321" i="199"/>
  <c r="Q320" i="199"/>
  <c r="Q318" i="199"/>
  <c r="Q316" i="199"/>
  <c r="Q315" i="199"/>
  <c r="Q314" i="199"/>
  <c r="Q313" i="199"/>
  <c r="Q312" i="199"/>
  <c r="Q311" i="199"/>
  <c r="Q310" i="199"/>
  <c r="Q309" i="199"/>
  <c r="Q308" i="199"/>
  <c r="Q307" i="199"/>
  <c r="Q306" i="199"/>
  <c r="Q305" i="199"/>
  <c r="Q304" i="199"/>
  <c r="Q303" i="199"/>
  <c r="Q302" i="199"/>
  <c r="Q301" i="199"/>
  <c r="Q300" i="199"/>
  <c r="Q298" i="199"/>
  <c r="Q296" i="199"/>
  <c r="Q295" i="199"/>
  <c r="Q294" i="199"/>
  <c r="Q293" i="199"/>
  <c r="Q292" i="199"/>
  <c r="Q291" i="199"/>
  <c r="Q290" i="199"/>
  <c r="Q289" i="199"/>
  <c r="Q288" i="199"/>
  <c r="Q287" i="199"/>
  <c r="Q286" i="199"/>
  <c r="Q285" i="199"/>
  <c r="Q284" i="199"/>
  <c r="Q283" i="199"/>
  <c r="Q282" i="199"/>
  <c r="Q281" i="199"/>
  <c r="Q279" i="199"/>
  <c r="Q278" i="199"/>
  <c r="Q277" i="199"/>
  <c r="Q275" i="199"/>
  <c r="Q273" i="199"/>
  <c r="Q272" i="199"/>
  <c r="Q271" i="199"/>
  <c r="Q270" i="199"/>
  <c r="Q269" i="199"/>
  <c r="Q268" i="199"/>
  <c r="Q267" i="199"/>
  <c r="Q266" i="199"/>
  <c r="Q265" i="199"/>
  <c r="Q264" i="199"/>
  <c r="Q263" i="199"/>
  <c r="Q262" i="199"/>
  <c r="Q261" i="199"/>
  <c r="Q260" i="199"/>
  <c r="Q259" i="199"/>
  <c r="Q257" i="199"/>
  <c r="Q256" i="199"/>
  <c r="Q254" i="199"/>
  <c r="Q253" i="199"/>
  <c r="Q252" i="199"/>
  <c r="Q251" i="199"/>
  <c r="Q250" i="199"/>
  <c r="Q249" i="199"/>
  <c r="Q248" i="199"/>
  <c r="Q247" i="199"/>
  <c r="Q246" i="199"/>
  <c r="Q245" i="199"/>
  <c r="Q244" i="199"/>
  <c r="Q243" i="199"/>
  <c r="Q242" i="199"/>
  <c r="Q241" i="199"/>
  <c r="Q240" i="199"/>
  <c r="Q239" i="199"/>
  <c r="Q238" i="199"/>
  <c r="Q237" i="199"/>
  <c r="Q236" i="199"/>
  <c r="Q235" i="199"/>
  <c r="Q234" i="199"/>
  <c r="Q230" i="199"/>
  <c r="Q229" i="199"/>
  <c r="P226" i="199"/>
  <c r="P231" i="199" s="1"/>
  <c r="O226" i="199"/>
  <c r="O231" i="199" s="1"/>
  <c r="N226" i="199"/>
  <c r="N231" i="199" s="1"/>
  <c r="M226" i="199"/>
  <c r="M231" i="199" s="1"/>
  <c r="L226" i="199"/>
  <c r="L231" i="199" s="1"/>
  <c r="K226" i="199"/>
  <c r="K231" i="199" s="1"/>
  <c r="J226" i="199"/>
  <c r="J231" i="199" s="1"/>
  <c r="I226" i="199"/>
  <c r="I231" i="199" s="1"/>
  <c r="H226" i="199"/>
  <c r="H231" i="199" s="1"/>
  <c r="G226" i="199"/>
  <c r="G231" i="199" s="1"/>
  <c r="Q225" i="199"/>
  <c r="Q224" i="199"/>
  <c r="Q223" i="199"/>
  <c r="Q222" i="199"/>
  <c r="Q218" i="199"/>
  <c r="Q217" i="199"/>
  <c r="Q216" i="199"/>
  <c r="Q215" i="199"/>
  <c r="Q214" i="199"/>
  <c r="Q213" i="199"/>
  <c r="Q212" i="199"/>
  <c r="Q211" i="199"/>
  <c r="Q210" i="199"/>
  <c r="Q209" i="199"/>
  <c r="Q206" i="199"/>
  <c r="Q204" i="199"/>
  <c r="Q203" i="199"/>
  <c r="Q202" i="199"/>
  <c r="Q201" i="199"/>
  <c r="Q200" i="199"/>
  <c r="Q199" i="199"/>
  <c r="Q196" i="199"/>
  <c r="Q195" i="199"/>
  <c r="Q194" i="199"/>
  <c r="Q193" i="199"/>
  <c r="Q191" i="199"/>
  <c r="Q190" i="199"/>
  <c r="Q188" i="199"/>
  <c r="Q187" i="199"/>
  <c r="Q186" i="199"/>
  <c r="Q183" i="199"/>
  <c r="Q182" i="199"/>
  <c r="Q181" i="199"/>
  <c r="Q180" i="199"/>
  <c r="Q179" i="199"/>
  <c r="Q178" i="199"/>
  <c r="P174" i="199"/>
  <c r="P219" i="199" s="1"/>
  <c r="O174" i="199"/>
  <c r="O219" i="199" s="1"/>
  <c r="N174" i="199"/>
  <c r="N219" i="199" s="1"/>
  <c r="M174" i="199"/>
  <c r="M219" i="199" s="1"/>
  <c r="L174" i="199"/>
  <c r="L219" i="199" s="1"/>
  <c r="K174" i="199"/>
  <c r="K219" i="199" s="1"/>
  <c r="J174" i="199"/>
  <c r="J219" i="199" s="1"/>
  <c r="I174" i="199"/>
  <c r="I219" i="199" s="1"/>
  <c r="H174" i="199"/>
  <c r="H219" i="199" s="1"/>
  <c r="G174" i="199"/>
  <c r="G219" i="199" s="1"/>
  <c r="Q173" i="199"/>
  <c r="Q172" i="199"/>
  <c r="Q171" i="199"/>
  <c r="Q170" i="199"/>
  <c r="Q169" i="199"/>
  <c r="Q167" i="199"/>
  <c r="Q166" i="199"/>
  <c r="Q165" i="199"/>
  <c r="Q164" i="199"/>
  <c r="Q163" i="199"/>
  <c r="Q162" i="199"/>
  <c r="Q161" i="199"/>
  <c r="Q160" i="199"/>
  <c r="Q159" i="199"/>
  <c r="Q158" i="199"/>
  <c r="Q157" i="199"/>
  <c r="Q156" i="199"/>
  <c r="Q155" i="199"/>
  <c r="Q154" i="199"/>
  <c r="Q153" i="199"/>
  <c r="Q152" i="199"/>
  <c r="Q151" i="199"/>
  <c r="Q150" i="199"/>
  <c r="Q149" i="199"/>
  <c r="Q148" i="199"/>
  <c r="Q147" i="199"/>
  <c r="Q146" i="199"/>
  <c r="Q145" i="199"/>
  <c r="Q144" i="199"/>
  <c r="Q143" i="199"/>
  <c r="Q141" i="199"/>
  <c r="Q140" i="199"/>
  <c r="Q139" i="199"/>
  <c r="Q138" i="199"/>
  <c r="Q137" i="199"/>
  <c r="Q136" i="199"/>
  <c r="Q135" i="199"/>
  <c r="Q134" i="199"/>
  <c r="Q133" i="199"/>
  <c r="Q131" i="199"/>
  <c r="Q130" i="199"/>
  <c r="Q129" i="199"/>
  <c r="Q128" i="199"/>
  <c r="Q126" i="199"/>
  <c r="Q125" i="199"/>
  <c r="Q124" i="199"/>
  <c r="Q121" i="199"/>
  <c r="Q119" i="199"/>
  <c r="Q117" i="199"/>
  <c r="Q115" i="199"/>
  <c r="Q114" i="199"/>
  <c r="Q113" i="199"/>
  <c r="Q111" i="199"/>
  <c r="Q110" i="199"/>
  <c r="Q108" i="199"/>
  <c r="Q106" i="199"/>
  <c r="Q105" i="199"/>
  <c r="Q102" i="199"/>
  <c r="Q101" i="199"/>
  <c r="Q99" i="199"/>
  <c r="Q98" i="199"/>
  <c r="Q97" i="199"/>
  <c r="Q96" i="199"/>
  <c r="Q95" i="199"/>
  <c r="Q93" i="199"/>
  <c r="Q92" i="199"/>
  <c r="Q91" i="199"/>
  <c r="Q90" i="199"/>
  <c r="Q89" i="199"/>
  <c r="Q88" i="199"/>
  <c r="Q87" i="199"/>
  <c r="Q86" i="199"/>
  <c r="Q84" i="199"/>
  <c r="Q83" i="199"/>
  <c r="Q82" i="199"/>
  <c r="Q81" i="199"/>
  <c r="Q80" i="199"/>
  <c r="Q79" i="199"/>
  <c r="Q78" i="199"/>
  <c r="Q77" i="199"/>
  <c r="Q76" i="199"/>
  <c r="Q75" i="199"/>
  <c r="Q74" i="199"/>
  <c r="Q73" i="199"/>
  <c r="Q72" i="199"/>
  <c r="Q71" i="199"/>
  <c r="Q70" i="199"/>
  <c r="Q68" i="199"/>
  <c r="Q66" i="199"/>
  <c r="Q64" i="199"/>
  <c r="Q63" i="199"/>
  <c r="Q62" i="199"/>
  <c r="Q61" i="199"/>
  <c r="Q60" i="199"/>
  <c r="Q59" i="199"/>
  <c r="Q56" i="199"/>
  <c r="Q55" i="199"/>
  <c r="Q54" i="199"/>
  <c r="Q53" i="199"/>
  <c r="Q52" i="199"/>
  <c r="Q51" i="199"/>
  <c r="Q50" i="199"/>
  <c r="Q45" i="199"/>
  <c r="Q44" i="199"/>
  <c r="Q42" i="199"/>
  <c r="P40" i="199"/>
  <c r="P46" i="199" s="1"/>
  <c r="O40" i="199"/>
  <c r="O46" i="199" s="1"/>
  <c r="N40" i="199"/>
  <c r="N46" i="199" s="1"/>
  <c r="M40" i="199"/>
  <c r="M46" i="199" s="1"/>
  <c r="L40" i="199"/>
  <c r="L46" i="199" s="1"/>
  <c r="K40" i="199"/>
  <c r="K46" i="199" s="1"/>
  <c r="J40" i="199"/>
  <c r="J46" i="199" s="1"/>
  <c r="I40" i="199"/>
  <c r="I46" i="199" s="1"/>
  <c r="H40" i="199"/>
  <c r="H46" i="199" s="1"/>
  <c r="G40" i="199"/>
  <c r="G46" i="199" s="1"/>
  <c r="Q39" i="199"/>
  <c r="Q37" i="199"/>
  <c r="Q35" i="199"/>
  <c r="Q34" i="199"/>
  <c r="Q33" i="199"/>
  <c r="Q32" i="199"/>
  <c r="Q30" i="199"/>
  <c r="Q28" i="199"/>
  <c r="Q26" i="199"/>
  <c r="Q24" i="199"/>
  <c r="Q23" i="199"/>
  <c r="Q22" i="199"/>
  <c r="Q20" i="199"/>
  <c r="Q18" i="199"/>
  <c r="Q16" i="199"/>
  <c r="Q15" i="199"/>
  <c r="Q14" i="199"/>
  <c r="Q13" i="199"/>
  <c r="Q12" i="199"/>
  <c r="Q10" i="199"/>
  <c r="Q9" i="199"/>
  <c r="Q7" i="199"/>
  <c r="O156" i="198"/>
  <c r="N156" i="198"/>
  <c r="M156" i="198"/>
  <c r="L156" i="198"/>
  <c r="K156" i="198"/>
  <c r="J156" i="198"/>
  <c r="I156" i="198"/>
  <c r="H156" i="198"/>
  <c r="G156" i="198"/>
  <c r="F156" i="198"/>
  <c r="E156" i="198"/>
  <c r="O149" i="198"/>
  <c r="O147" i="198"/>
  <c r="O145" i="198"/>
  <c r="O144" i="198"/>
  <c r="O143" i="198"/>
  <c r="O142" i="198"/>
  <c r="O141" i="198"/>
  <c r="O139" i="198"/>
  <c r="O138" i="198"/>
  <c r="O137" i="198"/>
  <c r="O136" i="198"/>
  <c r="O134" i="198"/>
  <c r="O133" i="198"/>
  <c r="O132" i="198"/>
  <c r="O131" i="198"/>
  <c r="O129" i="198"/>
  <c r="N126" i="198"/>
  <c r="M126" i="198"/>
  <c r="L126" i="198"/>
  <c r="K126" i="198"/>
  <c r="J126" i="198"/>
  <c r="I126" i="198"/>
  <c r="H126" i="198"/>
  <c r="G126" i="198"/>
  <c r="F126" i="198"/>
  <c r="E126" i="198"/>
  <c r="O125" i="198"/>
  <c r="O124" i="198"/>
  <c r="O123" i="198"/>
  <c r="O122" i="198"/>
  <c r="O121" i="198"/>
  <c r="O120" i="198"/>
  <c r="N117" i="198"/>
  <c r="M117" i="198"/>
  <c r="L117" i="198"/>
  <c r="K117" i="198"/>
  <c r="J117" i="198"/>
  <c r="I117" i="198"/>
  <c r="H117" i="198"/>
  <c r="G117" i="198"/>
  <c r="F117" i="198"/>
  <c r="E117" i="198"/>
  <c r="O116" i="198"/>
  <c r="O114" i="198"/>
  <c r="O111" i="198"/>
  <c r="O109" i="198"/>
  <c r="O107" i="198"/>
  <c r="O106" i="198"/>
  <c r="O105" i="198"/>
  <c r="O104" i="198"/>
  <c r="O103" i="198"/>
  <c r="O102" i="198"/>
  <c r="O101" i="198"/>
  <c r="O100" i="198"/>
  <c r="O99" i="198"/>
  <c r="O98" i="198"/>
  <c r="O97" i="198"/>
  <c r="O95" i="198"/>
  <c r="O93" i="198"/>
  <c r="O92" i="198"/>
  <c r="O91" i="198"/>
  <c r="O86" i="198"/>
  <c r="O85" i="198"/>
  <c r="O84" i="198"/>
  <c r="O83" i="198"/>
  <c r="O82" i="198"/>
  <c r="O81" i="198"/>
  <c r="O80" i="198"/>
  <c r="O79" i="198"/>
  <c r="O78" i="198"/>
  <c r="O77" i="198"/>
  <c r="O76" i="198"/>
  <c r="O75" i="198"/>
  <c r="O74" i="198"/>
  <c r="O73" i="198"/>
  <c r="O72" i="198"/>
  <c r="O71" i="198"/>
  <c r="O70" i="198"/>
  <c r="O69" i="198"/>
  <c r="O68" i="198"/>
  <c r="O67" i="198"/>
  <c r="O66" i="198"/>
  <c r="O65" i="198"/>
  <c r="O64" i="198"/>
  <c r="O63" i="198"/>
  <c r="O62" i="198"/>
  <c r="O61" i="198"/>
  <c r="O60" i="198"/>
  <c r="O59" i="198"/>
  <c r="O58" i="198"/>
  <c r="O57" i="198"/>
  <c r="O56" i="198"/>
  <c r="O55" i="198"/>
  <c r="O54" i="198"/>
  <c r="O53" i="198"/>
  <c r="O52" i="198"/>
  <c r="O51" i="198"/>
  <c r="O50" i="198"/>
  <c r="O49" i="198"/>
  <c r="O47" i="198"/>
  <c r="O46" i="198"/>
  <c r="O45" i="198"/>
  <c r="O44" i="198"/>
  <c r="O43" i="198"/>
  <c r="O42" i="198"/>
  <c r="O41" i="198"/>
  <c r="O35" i="198"/>
  <c r="O33" i="198"/>
  <c r="O32" i="198"/>
  <c r="O31" i="198"/>
  <c r="O29" i="198"/>
  <c r="O28" i="198"/>
  <c r="O27" i="198"/>
  <c r="N24" i="198"/>
  <c r="M24" i="198"/>
  <c r="L24" i="198"/>
  <c r="K24" i="198"/>
  <c r="J24" i="198"/>
  <c r="I24" i="198"/>
  <c r="H24" i="198"/>
  <c r="O23" i="198"/>
  <c r="O22" i="198"/>
  <c r="N19" i="198"/>
  <c r="M19" i="198"/>
  <c r="L19" i="198"/>
  <c r="K19" i="198"/>
  <c r="J19" i="198"/>
  <c r="I19" i="198"/>
  <c r="H19" i="198"/>
  <c r="G19" i="198"/>
  <c r="F19" i="198"/>
  <c r="E19" i="198"/>
  <c r="O18" i="198"/>
  <c r="O17" i="198"/>
  <c r="O13" i="198"/>
  <c r="O11" i="198"/>
  <c r="N8" i="198"/>
  <c r="K8" i="198"/>
  <c r="J8" i="198"/>
  <c r="I8" i="198"/>
  <c r="H8" i="198"/>
  <c r="G8" i="198"/>
  <c r="F8" i="198"/>
  <c r="E8" i="198"/>
  <c r="O7" i="198"/>
  <c r="O8" i="198" s="1"/>
  <c r="Q453" i="194"/>
  <c r="O88" i="198" l="1"/>
  <c r="H88" i="193"/>
  <c r="O87" i="193"/>
  <c r="Q715" i="199"/>
  <c r="Q721" i="199" s="1"/>
  <c r="O152" i="198"/>
  <c r="L157" i="198"/>
  <c r="L159" i="198" s="1"/>
  <c r="O38" i="198"/>
  <c r="O24" i="198"/>
  <c r="H157" i="198"/>
  <c r="H159" i="198" s="1"/>
  <c r="O117" i="198"/>
  <c r="E22" i="139"/>
  <c r="E22" i="138"/>
  <c r="O158" i="198"/>
  <c r="O126" i="198"/>
  <c r="K157" i="198"/>
  <c r="K159" i="198" s="1"/>
  <c r="G157" i="198"/>
  <c r="G159" i="198" s="1"/>
  <c r="N157" i="198"/>
  <c r="N159" i="198" s="1"/>
  <c r="E157" i="198"/>
  <c r="E159" i="198" s="1"/>
  <c r="I157" i="198"/>
  <c r="I159" i="198" s="1"/>
  <c r="J157" i="198"/>
  <c r="J159" i="198" s="1"/>
  <c r="M157" i="198"/>
  <c r="M159" i="198" s="1"/>
  <c r="F157" i="198"/>
  <c r="F159" i="198" s="1"/>
  <c r="O19" i="198"/>
  <c r="Q737" i="199"/>
  <c r="Q735" i="199"/>
  <c r="Q665" i="199"/>
  <c r="Q668" i="199" s="1"/>
  <c r="N736" i="199"/>
  <c r="N738" i="199" s="1"/>
  <c r="D11" i="107" s="1"/>
  <c r="J736" i="199"/>
  <c r="J738" i="199" s="1"/>
  <c r="D6" i="107" s="1"/>
  <c r="Q634" i="199"/>
  <c r="Q641" i="199" s="1"/>
  <c r="Q609" i="199"/>
  <c r="Q616" i="199" s="1"/>
  <c r="Q470" i="199"/>
  <c r="Q594" i="199" s="1"/>
  <c r="Q343" i="199"/>
  <c r="Q459" i="199" s="1"/>
  <c r="Q226" i="199"/>
  <c r="Q231" i="199" s="1"/>
  <c r="L736" i="199"/>
  <c r="L738" i="199" s="1"/>
  <c r="D9" i="107" s="1"/>
  <c r="M736" i="199"/>
  <c r="M738" i="199" s="1"/>
  <c r="D10" i="107" s="1"/>
  <c r="I736" i="199"/>
  <c r="I738" i="199" s="1"/>
  <c r="D5" i="107" s="1"/>
  <c r="Q174" i="199"/>
  <c r="Q219" i="199" s="1"/>
  <c r="Q40" i="199"/>
  <c r="Q46" i="199" s="1"/>
  <c r="N22" i="200"/>
  <c r="M22" i="201"/>
  <c r="P736" i="199"/>
  <c r="P738" i="199" s="1"/>
  <c r="G736" i="199"/>
  <c r="G738" i="199" s="1"/>
  <c r="D3" i="107" s="1"/>
  <c r="K736" i="199"/>
  <c r="K738" i="199" s="1"/>
  <c r="D7" i="107" s="1"/>
  <c r="O736" i="199"/>
  <c r="O738" i="199" s="1"/>
  <c r="H736" i="199"/>
  <c r="H738" i="199" s="1"/>
  <c r="D4" i="107" s="1"/>
  <c r="Q543" i="194"/>
  <c r="Q443" i="194"/>
  <c r="Q442" i="194"/>
  <c r="Q441" i="194"/>
  <c r="Q348" i="194"/>
  <c r="Q394" i="194"/>
  <c r="Q393" i="194"/>
  <c r="Q392" i="194"/>
  <c r="D12" i="107" l="1"/>
  <c r="D14" i="107"/>
  <c r="D8" i="107"/>
  <c r="O157" i="198"/>
  <c r="O159" i="198" s="1"/>
  <c r="Q736" i="199"/>
  <c r="Q738" i="199" s="1"/>
  <c r="Q183" i="194"/>
  <c r="D13" i="107" l="1"/>
  <c r="D15" i="107" s="1"/>
  <c r="H174" i="194"/>
  <c r="I174" i="194"/>
  <c r="J174" i="194"/>
  <c r="K174" i="194"/>
  <c r="L174" i="194"/>
  <c r="M174" i="194"/>
  <c r="N174" i="194"/>
  <c r="O174" i="194"/>
  <c r="P174" i="194"/>
  <c r="G174" i="194"/>
  <c r="Q527" i="194"/>
  <c r="Q204" i="194"/>
  <c r="Q390" i="194" l="1"/>
  <c r="Q500" i="194"/>
  <c r="Q499" i="194"/>
  <c r="Q389" i="194"/>
  <c r="Q388" i="194"/>
  <c r="Q387" i="194"/>
  <c r="Q710" i="194"/>
  <c r="Q504" i="194"/>
  <c r="Q526" i="194"/>
  <c r="Q709" i="194"/>
  <c r="Q711" i="194"/>
  <c r="O93" i="193"/>
  <c r="Q476" i="194" l="1"/>
  <c r="Q477" i="194"/>
  <c r="Q483" i="194"/>
  <c r="Q612" i="194"/>
  <c r="Q637" i="194"/>
  <c r="Q202" i="194"/>
  <c r="Q191" i="194"/>
  <c r="Q203" i="194"/>
  <c r="Q200" i="194"/>
  <c r="Q190" i="194"/>
  <c r="Q524" i="194"/>
  <c r="Q525" i="194"/>
  <c r="Q201" i="194"/>
  <c r="Q384" i="194"/>
  <c r="Q369" i="194"/>
  <c r="Q370" i="194"/>
  <c r="Q371" i="194"/>
  <c r="Q372" i="194"/>
  <c r="Q373" i="194"/>
  <c r="Q374" i="194"/>
  <c r="Q375" i="194"/>
  <c r="Q376" i="194"/>
  <c r="Q377" i="194"/>
  <c r="Q378" i="194"/>
  <c r="Q379" i="194"/>
  <c r="Q380" i="194"/>
  <c r="Q381" i="194"/>
  <c r="Q382" i="194"/>
  <c r="Q383" i="194"/>
  <c r="Q432" i="194"/>
  <c r="Q431" i="194"/>
  <c r="Q430" i="194" l="1"/>
  <c r="Q193" i="194" l="1"/>
  <c r="Q717" i="194"/>
  <c r="Q173" i="194"/>
  <c r="Q584" i="194"/>
  <c r="Q178" i="194"/>
  <c r="Q121" i="194"/>
  <c r="Q475" i="194" l="1"/>
  <c r="O46" i="193" l="1"/>
  <c r="O47" i="193"/>
  <c r="Q567" i="194" l="1"/>
  <c r="Q559" i="194"/>
  <c r="Q550" i="194"/>
  <c r="Q636" i="194" l="1"/>
  <c r="F126" i="193"/>
  <c r="G126" i="193"/>
  <c r="H126" i="193"/>
  <c r="I126" i="193"/>
  <c r="J126" i="193"/>
  <c r="K126" i="193"/>
  <c r="L126" i="193"/>
  <c r="M126" i="193"/>
  <c r="N126" i="193"/>
  <c r="E126" i="193"/>
  <c r="O125" i="193"/>
  <c r="O156" i="193"/>
  <c r="I156" i="193"/>
  <c r="J156" i="193"/>
  <c r="K156" i="193"/>
  <c r="L156" i="193"/>
  <c r="M156" i="193"/>
  <c r="N156" i="193"/>
  <c r="H156" i="193"/>
  <c r="Q734" i="194" l="1"/>
  <c r="Q391" i="194"/>
  <c r="Q712" i="194" l="1"/>
  <c r="Q162" i="194" l="1"/>
  <c r="Q93" i="194"/>
  <c r="Q332" i="194" l="1"/>
  <c r="Q264" i="194"/>
  <c r="K14" i="62" l="1"/>
  <c r="M14" i="62"/>
  <c r="E6" i="62"/>
  <c r="F6" i="62"/>
  <c r="D6" i="62"/>
  <c r="K4" i="62"/>
  <c r="L4" i="62"/>
  <c r="J73" i="195"/>
  <c r="I73" i="195"/>
  <c r="P735" i="194" l="1"/>
  <c r="M14" i="63" s="1"/>
  <c r="O735" i="194"/>
  <c r="L14" i="63" s="1"/>
  <c r="N735" i="194"/>
  <c r="K14" i="63" s="1"/>
  <c r="M735" i="194"/>
  <c r="J14" i="63" s="1"/>
  <c r="L735" i="194"/>
  <c r="I14" i="63" s="1"/>
  <c r="K735" i="194"/>
  <c r="H14" i="63" s="1"/>
  <c r="J735" i="194"/>
  <c r="G14" i="63" s="1"/>
  <c r="I735" i="194"/>
  <c r="F14" i="63" s="1"/>
  <c r="H735" i="194"/>
  <c r="E14" i="63" s="1"/>
  <c r="G735" i="194"/>
  <c r="D14" i="63" s="1"/>
  <c r="Q733" i="194"/>
  <c r="Q731" i="194"/>
  <c r="Q730" i="194"/>
  <c r="Q729" i="194"/>
  <c r="Q728" i="194"/>
  <c r="Q727" i="194"/>
  <c r="Q726" i="194"/>
  <c r="Q725" i="194"/>
  <c r="Q723" i="194"/>
  <c r="Q720" i="194"/>
  <c r="P721" i="194"/>
  <c r="M13" i="63" s="1"/>
  <c r="O721" i="194"/>
  <c r="L13" i="63" s="1"/>
  <c r="N721" i="194"/>
  <c r="K13" i="63" s="1"/>
  <c r="M721" i="194"/>
  <c r="J13" i="63" s="1"/>
  <c r="L721" i="194"/>
  <c r="I13" i="63" s="1"/>
  <c r="K721" i="194"/>
  <c r="H13" i="63" s="1"/>
  <c r="J721" i="194"/>
  <c r="G13" i="63" s="1"/>
  <c r="I721" i="194"/>
  <c r="F13" i="63" s="1"/>
  <c r="H721" i="194"/>
  <c r="E13" i="63" s="1"/>
  <c r="G721" i="194"/>
  <c r="D13" i="63" s="1"/>
  <c r="Q708" i="194"/>
  <c r="Q707" i="194"/>
  <c r="Q706" i="194"/>
  <c r="Q705" i="194"/>
  <c r="Q703" i="194"/>
  <c r="Q701" i="194"/>
  <c r="Q700" i="194"/>
  <c r="Q699" i="194"/>
  <c r="Q698" i="194"/>
  <c r="Q696" i="194"/>
  <c r="Q695" i="194"/>
  <c r="Q172" i="194"/>
  <c r="Q693" i="194"/>
  <c r="Q692" i="194"/>
  <c r="Q691" i="194"/>
  <c r="Q689" i="194"/>
  <c r="Q688" i="194"/>
  <c r="Q686" i="194"/>
  <c r="Q685" i="194"/>
  <c r="Q684" i="194"/>
  <c r="Q683" i="194"/>
  <c r="Q682" i="194"/>
  <c r="Q681" i="194"/>
  <c r="Q680" i="194"/>
  <c r="Q679" i="194"/>
  <c r="Q678" i="194"/>
  <c r="Q677" i="194"/>
  <c r="Q676" i="194"/>
  <c r="Q675" i="194"/>
  <c r="Q674" i="194"/>
  <c r="Q667" i="194"/>
  <c r="P665" i="194"/>
  <c r="P668" i="194" s="1"/>
  <c r="M12" i="63" s="1"/>
  <c r="O665" i="194"/>
  <c r="O668" i="194" s="1"/>
  <c r="L12" i="63" s="1"/>
  <c r="N665" i="194"/>
  <c r="N668" i="194" s="1"/>
  <c r="K12" i="63" s="1"/>
  <c r="M665" i="194"/>
  <c r="M668" i="194" s="1"/>
  <c r="J12" i="63" s="1"/>
  <c r="L665" i="194"/>
  <c r="L668" i="194" s="1"/>
  <c r="I12" i="63" s="1"/>
  <c r="K665" i="194"/>
  <c r="K668" i="194" s="1"/>
  <c r="H12" i="63" s="1"/>
  <c r="J665" i="194"/>
  <c r="J668" i="194" s="1"/>
  <c r="G12" i="63" s="1"/>
  <c r="I665" i="194"/>
  <c r="I668" i="194" s="1"/>
  <c r="F12" i="63" s="1"/>
  <c r="H665" i="194"/>
  <c r="H668" i="194" s="1"/>
  <c r="E12" i="63" s="1"/>
  <c r="G665" i="194"/>
  <c r="G668" i="194" s="1"/>
  <c r="D12" i="63" s="1"/>
  <c r="Q664" i="194"/>
  <c r="Q662" i="194"/>
  <c r="Q661" i="194"/>
  <c r="Q659" i="194"/>
  <c r="Q657" i="194"/>
  <c r="Q655" i="194"/>
  <c r="Q653" i="194"/>
  <c r="Q651" i="194"/>
  <c r="Q650" i="194"/>
  <c r="Q649" i="194"/>
  <c r="Q648" i="194"/>
  <c r="Q646" i="194"/>
  <c r="Q645" i="194"/>
  <c r="Q644" i="194"/>
  <c r="Q640" i="194"/>
  <c r="Q639" i="194"/>
  <c r="P634" i="194"/>
  <c r="P641" i="194" s="1"/>
  <c r="M11" i="63" s="1"/>
  <c r="O634" i="194"/>
  <c r="O641" i="194" s="1"/>
  <c r="L11" i="63" s="1"/>
  <c r="N634" i="194"/>
  <c r="N641" i="194" s="1"/>
  <c r="K11" i="63" s="1"/>
  <c r="M634" i="194"/>
  <c r="M641" i="194" s="1"/>
  <c r="J11" i="63" s="1"/>
  <c r="L634" i="194"/>
  <c r="L641" i="194" s="1"/>
  <c r="I11" i="63" s="1"/>
  <c r="K634" i="194"/>
  <c r="K641" i="194" s="1"/>
  <c r="H11" i="63" s="1"/>
  <c r="J634" i="194"/>
  <c r="J641" i="194" s="1"/>
  <c r="G11" i="63" s="1"/>
  <c r="I634" i="194"/>
  <c r="I641" i="194" s="1"/>
  <c r="F11" i="63" s="1"/>
  <c r="H634" i="194"/>
  <c r="H641" i="194" s="1"/>
  <c r="E11" i="63" s="1"/>
  <c r="G634" i="194"/>
  <c r="G641" i="194" s="1"/>
  <c r="D11" i="63" s="1"/>
  <c r="Q633" i="194"/>
  <c r="Q632" i="194"/>
  <c r="Q631" i="194"/>
  <c r="Q629" i="194"/>
  <c r="Q628" i="194"/>
  <c r="Q627" i="194"/>
  <c r="Q625" i="194"/>
  <c r="Q624" i="194"/>
  <c r="Q622" i="194"/>
  <c r="Q621" i="194"/>
  <c r="Q620" i="194"/>
  <c r="Q619" i="194"/>
  <c r="Q615" i="194"/>
  <c r="Q614" i="194"/>
  <c r="Q611" i="194"/>
  <c r="P609" i="194"/>
  <c r="P616" i="194" s="1"/>
  <c r="M10" i="63" s="1"/>
  <c r="O609" i="194"/>
  <c r="O616" i="194" s="1"/>
  <c r="L10" i="63" s="1"/>
  <c r="N609" i="194"/>
  <c r="N616" i="194" s="1"/>
  <c r="K10" i="63" s="1"/>
  <c r="M609" i="194"/>
  <c r="M616" i="194" s="1"/>
  <c r="J10" i="63" s="1"/>
  <c r="L609" i="194"/>
  <c r="L616" i="194" s="1"/>
  <c r="I10" i="63" s="1"/>
  <c r="K609" i="194"/>
  <c r="K616" i="194" s="1"/>
  <c r="H10" i="63" s="1"/>
  <c r="J609" i="194"/>
  <c r="J616" i="194" s="1"/>
  <c r="G10" i="63" s="1"/>
  <c r="I609" i="194"/>
  <c r="I616" i="194" s="1"/>
  <c r="F10" i="63" s="1"/>
  <c r="H609" i="194"/>
  <c r="H616" i="194" s="1"/>
  <c r="E10" i="63" s="1"/>
  <c r="G609" i="194"/>
  <c r="G616" i="194" s="1"/>
  <c r="D10" i="63" s="1"/>
  <c r="Q608" i="194"/>
  <c r="Q605" i="194"/>
  <c r="Q604" i="194"/>
  <c r="Q603" i="194"/>
  <c r="Q602" i="194"/>
  <c r="Q601" i="194"/>
  <c r="Q600" i="194"/>
  <c r="Q599" i="194"/>
  <c r="Q598" i="194"/>
  <c r="Q597" i="194"/>
  <c r="Q593" i="194"/>
  <c r="Q592" i="194"/>
  <c r="Q591" i="194"/>
  <c r="Q590" i="194"/>
  <c r="Q589" i="194"/>
  <c r="Q588" i="194"/>
  <c r="Q586" i="194"/>
  <c r="Q585" i="194"/>
  <c r="Q583" i="194"/>
  <c r="Q582" i="194"/>
  <c r="Q581" i="194"/>
  <c r="Q579" i="194"/>
  <c r="Q578" i="194"/>
  <c r="Q576" i="194"/>
  <c r="Q575" i="194"/>
  <c r="Q574" i="194"/>
  <c r="Q573" i="194"/>
  <c r="Q572" i="194"/>
  <c r="Q571" i="194"/>
  <c r="Q568" i="194"/>
  <c r="Q566" i="194"/>
  <c r="Q565" i="194"/>
  <c r="Q564" i="194"/>
  <c r="Q563" i="194"/>
  <c r="Q562" i="194"/>
  <c r="Q561" i="194"/>
  <c r="Q560" i="194"/>
  <c r="Q558" i="194"/>
  <c r="Q557" i="194"/>
  <c r="Q556" i="194"/>
  <c r="Q555" i="194"/>
  <c r="Q554" i="194"/>
  <c r="Q553" i="194"/>
  <c r="Q552" i="194"/>
  <c r="Q551" i="194"/>
  <c r="Q549" i="194"/>
  <c r="Q548" i="194"/>
  <c r="Q547" i="194"/>
  <c r="Q546" i="194"/>
  <c r="Q545" i="194"/>
  <c r="Q540" i="194"/>
  <c r="Q539" i="194"/>
  <c r="Q538" i="194"/>
  <c r="Q537" i="194"/>
  <c r="Q536" i="194"/>
  <c r="Q535" i="194"/>
  <c r="Q534" i="194"/>
  <c r="Q533" i="194"/>
  <c r="Q532" i="194"/>
  <c r="Q531" i="194"/>
  <c r="Q530" i="194"/>
  <c r="Q529" i="194"/>
  <c r="Q523" i="194"/>
  <c r="Q522" i="194"/>
  <c r="Q521" i="194"/>
  <c r="Q520" i="194"/>
  <c r="Q519" i="194"/>
  <c r="Q516" i="194"/>
  <c r="Q513" i="194"/>
  <c r="Q512" i="194"/>
  <c r="Q511" i="194"/>
  <c r="Q510" i="194"/>
  <c r="Q508" i="194"/>
  <c r="Q506" i="194"/>
  <c r="Q502" i="194"/>
  <c r="Q498" i="194"/>
  <c r="Q497" i="194"/>
  <c r="Q496" i="194"/>
  <c r="Q495" i="194"/>
  <c r="Q494" i="194"/>
  <c r="Q493" i="194"/>
  <c r="Q492" i="194"/>
  <c r="Q490" i="194"/>
  <c r="Q487" i="194"/>
  <c r="Q486" i="194"/>
  <c r="Q485" i="194"/>
  <c r="Q482" i="194"/>
  <c r="Q481" i="194"/>
  <c r="Q479" i="194"/>
  <c r="Q474" i="194"/>
  <c r="Q473" i="194"/>
  <c r="P470" i="194"/>
  <c r="P594" i="194" s="1"/>
  <c r="M9" i="63" s="1"/>
  <c r="O470" i="194"/>
  <c r="O594" i="194" s="1"/>
  <c r="L9" i="63" s="1"/>
  <c r="N470" i="194"/>
  <c r="N594" i="194" s="1"/>
  <c r="K9" i="63" s="1"/>
  <c r="M470" i="194"/>
  <c r="M594" i="194" s="1"/>
  <c r="J9" i="63" s="1"/>
  <c r="L470" i="194"/>
  <c r="L594" i="194" s="1"/>
  <c r="I9" i="63" s="1"/>
  <c r="K470" i="194"/>
  <c r="K594" i="194" s="1"/>
  <c r="H9" i="63" s="1"/>
  <c r="J470" i="194"/>
  <c r="J594" i="194" s="1"/>
  <c r="G9" i="63" s="1"/>
  <c r="I470" i="194"/>
  <c r="I594" i="194" s="1"/>
  <c r="F9" i="63" s="1"/>
  <c r="H470" i="194"/>
  <c r="H594" i="194" s="1"/>
  <c r="E9" i="63" s="1"/>
  <c r="G470" i="194"/>
  <c r="G594" i="194" s="1"/>
  <c r="D9" i="63" s="1"/>
  <c r="Q469" i="194"/>
  <c r="Q467" i="194"/>
  <c r="Q465" i="194"/>
  <c r="Q464" i="194"/>
  <c r="Q463" i="194"/>
  <c r="Q462" i="194"/>
  <c r="Q458" i="194"/>
  <c r="Q457" i="194"/>
  <c r="Q456" i="194"/>
  <c r="Q455" i="194"/>
  <c r="Q452" i="194"/>
  <c r="Q450" i="194"/>
  <c r="Q447" i="194"/>
  <c r="Q446" i="194"/>
  <c r="Q445" i="194"/>
  <c r="Q440" i="194"/>
  <c r="Q439" i="194"/>
  <c r="Q438" i="194"/>
  <c r="Q437" i="194"/>
  <c r="Q436" i="194"/>
  <c r="Q435" i="194"/>
  <c r="Q434" i="194"/>
  <c r="Q429" i="194"/>
  <c r="Q428" i="194"/>
  <c r="Q427" i="194"/>
  <c r="Q426" i="194"/>
  <c r="Q425" i="194"/>
  <c r="Q424" i="194"/>
  <c r="Q423" i="194"/>
  <c r="Q422" i="194"/>
  <c r="Q421" i="194"/>
  <c r="Q420" i="194"/>
  <c r="Q419" i="194"/>
  <c r="Q418" i="194"/>
  <c r="Q417" i="194"/>
  <c r="Q416" i="194"/>
  <c r="Q415" i="194"/>
  <c r="Q414" i="194"/>
  <c r="Q413" i="194"/>
  <c r="Q412" i="194"/>
  <c r="Q411" i="194"/>
  <c r="Q410" i="194"/>
  <c r="Q409" i="194"/>
  <c r="Q408" i="194"/>
  <c r="Q407" i="194"/>
  <c r="Q406" i="194"/>
  <c r="Q405" i="194"/>
  <c r="Q404" i="194"/>
  <c r="Q403" i="194"/>
  <c r="Q402" i="194"/>
  <c r="Q401" i="194"/>
  <c r="Q400" i="194"/>
  <c r="Q399" i="194"/>
  <c r="Q398" i="194"/>
  <c r="Q386" i="194"/>
  <c r="Q385" i="194"/>
  <c r="Q368" i="194"/>
  <c r="Q367" i="194"/>
  <c r="Q365" i="194"/>
  <c r="Q364" i="194"/>
  <c r="Q363" i="194"/>
  <c r="Q362" i="194"/>
  <c r="Q360" i="194"/>
  <c r="Q359" i="194"/>
  <c r="Q358" i="194"/>
  <c r="Q357" i="194"/>
  <c r="Q354" i="194"/>
  <c r="Q353" i="194"/>
  <c r="Q352" i="194"/>
  <c r="Q351" i="194"/>
  <c r="Q350" i="194"/>
  <c r="Q347" i="194"/>
  <c r="Q346" i="194"/>
  <c r="P343" i="194"/>
  <c r="P459" i="194" s="1"/>
  <c r="M8" i="63" s="1"/>
  <c r="O343" i="194"/>
  <c r="O459" i="194" s="1"/>
  <c r="L8" i="63" s="1"/>
  <c r="N343" i="194"/>
  <c r="N459" i="194" s="1"/>
  <c r="K8" i="63" s="1"/>
  <c r="M343" i="194"/>
  <c r="M459" i="194" s="1"/>
  <c r="J8" i="63" s="1"/>
  <c r="L343" i="194"/>
  <c r="L459" i="194" s="1"/>
  <c r="I8" i="63" s="1"/>
  <c r="K343" i="194"/>
  <c r="K459" i="194" s="1"/>
  <c r="H8" i="63" s="1"/>
  <c r="J343" i="194"/>
  <c r="J459" i="194" s="1"/>
  <c r="G8" i="63" s="1"/>
  <c r="I343" i="194"/>
  <c r="I459" i="194" s="1"/>
  <c r="F8" i="63" s="1"/>
  <c r="H343" i="194"/>
  <c r="H459" i="194" s="1"/>
  <c r="E8" i="63" s="1"/>
  <c r="G343" i="194"/>
  <c r="G459" i="194" s="1"/>
  <c r="D8" i="63" s="1"/>
  <c r="Q342" i="194"/>
  <c r="Q340" i="194"/>
  <c r="Q338" i="194"/>
  <c r="Q336" i="194"/>
  <c r="Q335" i="194"/>
  <c r="Q334" i="194"/>
  <c r="Q333" i="194"/>
  <c r="Q331" i="194"/>
  <c r="Q330" i="194"/>
  <c r="Q329" i="194"/>
  <c r="Q327" i="194"/>
  <c r="Q326" i="194"/>
  <c r="Q325" i="194"/>
  <c r="Q323" i="194"/>
  <c r="Q322" i="194"/>
  <c r="Q321" i="194"/>
  <c r="Q320" i="194"/>
  <c r="Q318" i="194"/>
  <c r="Q316" i="194"/>
  <c r="Q315" i="194"/>
  <c r="Q314" i="194"/>
  <c r="Q313" i="194"/>
  <c r="Q312" i="194"/>
  <c r="Q311" i="194"/>
  <c r="Q310" i="194"/>
  <c r="Q309" i="194"/>
  <c r="Q308" i="194"/>
  <c r="Q307" i="194"/>
  <c r="Q306" i="194"/>
  <c r="Q305" i="194"/>
  <c r="Q304" i="194"/>
  <c r="Q303" i="194"/>
  <c r="Q302" i="194"/>
  <c r="Q301" i="194"/>
  <c r="Q300" i="194"/>
  <c r="Q298" i="194"/>
  <c r="Q296" i="194"/>
  <c r="Q295" i="194"/>
  <c r="Q294" i="194"/>
  <c r="Q293" i="194"/>
  <c r="Q292" i="194"/>
  <c r="Q291" i="194"/>
  <c r="Q290" i="194"/>
  <c r="Q289" i="194"/>
  <c r="Q288" i="194"/>
  <c r="Q287" i="194"/>
  <c r="Q286" i="194"/>
  <c r="Q285" i="194"/>
  <c r="Q284" i="194"/>
  <c r="Q283" i="194"/>
  <c r="Q282" i="194"/>
  <c r="Q281" i="194"/>
  <c r="Q279" i="194"/>
  <c r="Q278" i="194"/>
  <c r="Q277" i="194"/>
  <c r="Q275" i="194"/>
  <c r="Q273" i="194"/>
  <c r="Q272" i="194"/>
  <c r="Q271" i="194"/>
  <c r="Q270" i="194"/>
  <c r="Q269" i="194"/>
  <c r="Q268" i="194"/>
  <c r="Q267" i="194"/>
  <c r="Q266" i="194"/>
  <c r="Q265" i="194"/>
  <c r="Q263" i="194"/>
  <c r="Q262" i="194"/>
  <c r="Q261" i="194"/>
  <c r="Q260" i="194"/>
  <c r="Q259" i="194"/>
  <c r="Q257" i="194"/>
  <c r="Q256" i="194"/>
  <c r="Q254" i="194"/>
  <c r="Q253" i="194"/>
  <c r="Q252" i="194"/>
  <c r="Q251" i="194"/>
  <c r="Q250" i="194"/>
  <c r="Q249" i="194"/>
  <c r="Q248" i="194"/>
  <c r="Q247" i="194"/>
  <c r="Q246" i="194"/>
  <c r="Q245" i="194"/>
  <c r="Q244" i="194"/>
  <c r="Q243" i="194"/>
  <c r="Q242" i="194"/>
  <c r="Q241" i="194"/>
  <c r="Q240" i="194"/>
  <c r="Q239" i="194"/>
  <c r="Q238" i="194"/>
  <c r="Q237" i="194"/>
  <c r="Q236" i="194"/>
  <c r="Q235" i="194"/>
  <c r="Q234" i="194"/>
  <c r="Q230" i="194"/>
  <c r="Q229" i="194"/>
  <c r="P226" i="194"/>
  <c r="P231" i="194" s="1"/>
  <c r="M7" i="63" s="1"/>
  <c r="O226" i="194"/>
  <c r="O231" i="194" s="1"/>
  <c r="L7" i="63" s="1"/>
  <c r="N226" i="194"/>
  <c r="N231" i="194" s="1"/>
  <c r="K7" i="63" s="1"/>
  <c r="M226" i="194"/>
  <c r="M231" i="194" s="1"/>
  <c r="J7" i="63" s="1"/>
  <c r="L226" i="194"/>
  <c r="L231" i="194" s="1"/>
  <c r="I7" i="63" s="1"/>
  <c r="K226" i="194"/>
  <c r="K231" i="194" s="1"/>
  <c r="H7" i="63" s="1"/>
  <c r="J226" i="194"/>
  <c r="J231" i="194" s="1"/>
  <c r="G7" i="63" s="1"/>
  <c r="I226" i="194"/>
  <c r="I231" i="194" s="1"/>
  <c r="F7" i="63" s="1"/>
  <c r="H226" i="194"/>
  <c r="H231" i="194" s="1"/>
  <c r="E7" i="63" s="1"/>
  <c r="G226" i="194"/>
  <c r="G231" i="194" s="1"/>
  <c r="D7" i="63" s="1"/>
  <c r="Q225" i="194"/>
  <c r="Q224" i="194"/>
  <c r="Q223" i="194"/>
  <c r="Q222" i="194"/>
  <c r="Q218" i="194"/>
  <c r="Q217" i="194"/>
  <c r="Q216" i="194"/>
  <c r="Q215" i="194"/>
  <c r="Q214" i="194"/>
  <c r="Q213" i="194"/>
  <c r="Q212" i="194"/>
  <c r="Q211" i="194"/>
  <c r="Q210" i="194"/>
  <c r="Q209" i="194"/>
  <c r="Q206" i="194"/>
  <c r="Q199" i="194"/>
  <c r="Q196" i="194"/>
  <c r="Q195" i="194"/>
  <c r="Q194" i="194"/>
  <c r="Q188" i="194"/>
  <c r="Q187" i="194"/>
  <c r="Q186" i="194"/>
  <c r="Q182" i="194"/>
  <c r="Q181" i="194"/>
  <c r="Q180" i="194"/>
  <c r="Q179" i="194"/>
  <c r="P219" i="194"/>
  <c r="M6" i="63" s="1"/>
  <c r="O219" i="194"/>
  <c r="L6" i="63" s="1"/>
  <c r="N219" i="194"/>
  <c r="K6" i="63" s="1"/>
  <c r="M219" i="194"/>
  <c r="J6" i="63" s="1"/>
  <c r="L219" i="194"/>
  <c r="I6" i="63" s="1"/>
  <c r="K219" i="194"/>
  <c r="H6" i="63" s="1"/>
  <c r="J219" i="194"/>
  <c r="G6" i="63" s="1"/>
  <c r="I219" i="194"/>
  <c r="F6" i="63" s="1"/>
  <c r="H219" i="194"/>
  <c r="E6" i="63" s="1"/>
  <c r="G219" i="194"/>
  <c r="D6" i="63" s="1"/>
  <c r="Q171" i="194"/>
  <c r="Q170" i="194"/>
  <c r="Q169" i="194"/>
  <c r="Q167" i="194"/>
  <c r="Q166" i="194"/>
  <c r="Q165" i="194"/>
  <c r="Q164" i="194"/>
  <c r="Q163" i="194"/>
  <c r="Q161" i="194"/>
  <c r="Q160" i="194"/>
  <c r="Q159" i="194"/>
  <c r="Q158" i="194"/>
  <c r="Q157" i="194"/>
  <c r="Q156" i="194"/>
  <c r="Q155" i="194"/>
  <c r="Q154" i="194"/>
  <c r="Q153" i="194"/>
  <c r="Q152" i="194"/>
  <c r="Q151" i="194"/>
  <c r="Q150" i="194"/>
  <c r="Q149" i="194"/>
  <c r="Q148" i="194"/>
  <c r="Q147" i="194"/>
  <c r="Q146" i="194"/>
  <c r="Q145" i="194"/>
  <c r="Q144" i="194"/>
  <c r="Q143" i="194"/>
  <c r="Q141" i="194"/>
  <c r="Q140" i="194"/>
  <c r="Q139" i="194"/>
  <c r="Q138" i="194"/>
  <c r="Q137" i="194"/>
  <c r="Q136" i="194"/>
  <c r="Q135" i="194"/>
  <c r="Q134" i="194"/>
  <c r="Q133" i="194"/>
  <c r="Q131" i="194"/>
  <c r="Q130" i="194"/>
  <c r="Q129" i="194"/>
  <c r="Q128" i="194"/>
  <c r="Q126" i="194"/>
  <c r="Q125" i="194"/>
  <c r="Q124" i="194"/>
  <c r="Q119" i="194"/>
  <c r="Q117" i="194"/>
  <c r="Q115" i="194"/>
  <c r="Q114" i="194"/>
  <c r="Q113" i="194"/>
  <c r="Q111" i="194"/>
  <c r="Q110" i="194"/>
  <c r="Q108" i="194"/>
  <c r="Q106" i="194"/>
  <c r="Q105" i="194"/>
  <c r="Q102" i="194"/>
  <c r="Q101" i="194"/>
  <c r="Q99" i="194"/>
  <c r="Q98" i="194"/>
  <c r="Q97" i="194"/>
  <c r="Q96" i="194"/>
  <c r="Q95" i="194"/>
  <c r="Q92" i="194"/>
  <c r="Q91" i="194"/>
  <c r="Q90" i="194"/>
  <c r="Q89" i="194"/>
  <c r="Q88" i="194"/>
  <c r="Q87" i="194"/>
  <c r="Q86" i="194"/>
  <c r="Q84" i="194"/>
  <c r="Q83" i="194"/>
  <c r="Q82" i="194"/>
  <c r="Q81" i="194"/>
  <c r="Q80" i="194"/>
  <c r="Q79" i="194"/>
  <c r="Q78" i="194"/>
  <c r="Q77" i="194"/>
  <c r="Q76" i="194"/>
  <c r="Q75" i="194"/>
  <c r="Q74" i="194"/>
  <c r="Q73" i="194"/>
  <c r="Q72" i="194"/>
  <c r="Q71" i="194"/>
  <c r="Q70" i="194"/>
  <c r="Q68" i="194"/>
  <c r="Q66" i="194"/>
  <c r="Q64" i="194"/>
  <c r="Q63" i="194"/>
  <c r="Q62" i="194"/>
  <c r="Q61" i="194"/>
  <c r="Q60" i="194"/>
  <c r="Q59" i="194"/>
  <c r="Q56" i="194"/>
  <c r="Q55" i="194"/>
  <c r="Q54" i="194"/>
  <c r="Q53" i="194"/>
  <c r="Q52" i="194"/>
  <c r="Q51" i="194"/>
  <c r="Q50" i="194"/>
  <c r="Q45" i="194"/>
  <c r="Q44" i="194"/>
  <c r="P40" i="194"/>
  <c r="P46" i="194" s="1"/>
  <c r="O40" i="194"/>
  <c r="O46" i="194" s="1"/>
  <c r="N40" i="194"/>
  <c r="M40" i="194"/>
  <c r="M46" i="194" s="1"/>
  <c r="J5" i="63" s="1"/>
  <c r="L40" i="194"/>
  <c r="L46" i="194" s="1"/>
  <c r="K40" i="194"/>
  <c r="K46" i="194" s="1"/>
  <c r="J40" i="194"/>
  <c r="J46" i="194" s="1"/>
  <c r="G5" i="63" s="1"/>
  <c r="I40" i="194"/>
  <c r="I46" i="194" s="1"/>
  <c r="F5" i="63" s="1"/>
  <c r="H40" i="194"/>
  <c r="H46" i="194" s="1"/>
  <c r="G40" i="194"/>
  <c r="G46" i="194" s="1"/>
  <c r="Q39" i="194"/>
  <c r="Q37" i="194"/>
  <c r="Q35" i="194"/>
  <c r="Q34" i="194"/>
  <c r="Q33" i="194"/>
  <c r="Q32" i="194"/>
  <c r="Q30" i="194"/>
  <c r="Q28" i="194"/>
  <c r="Q26" i="194"/>
  <c r="Q24" i="194"/>
  <c r="Q23" i="194"/>
  <c r="Q22" i="194"/>
  <c r="Q20" i="194"/>
  <c r="Q18" i="194"/>
  <c r="Q16" i="194"/>
  <c r="Q15" i="194"/>
  <c r="Q14" i="194"/>
  <c r="Q13" i="194"/>
  <c r="Q12" i="194"/>
  <c r="Q10" i="194"/>
  <c r="Q9" i="194"/>
  <c r="Q7" i="194"/>
  <c r="M12" i="62"/>
  <c r="L12" i="62"/>
  <c r="K12" i="62"/>
  <c r="J12" i="62"/>
  <c r="I12" i="62"/>
  <c r="H12" i="62"/>
  <c r="G12" i="62"/>
  <c r="G156" i="193"/>
  <c r="F12" i="62" s="1"/>
  <c r="F156" i="193"/>
  <c r="E12" i="62" s="1"/>
  <c r="E156" i="193"/>
  <c r="D12" i="62" s="1"/>
  <c r="M11" i="62"/>
  <c r="L11" i="62"/>
  <c r="K11" i="62"/>
  <c r="J11" i="62"/>
  <c r="I11" i="62"/>
  <c r="H11" i="62"/>
  <c r="G11" i="62"/>
  <c r="F11" i="62"/>
  <c r="E11" i="62"/>
  <c r="D11" i="62"/>
  <c r="O147" i="193"/>
  <c r="O145" i="193"/>
  <c r="O144" i="193"/>
  <c r="O143" i="193"/>
  <c r="O142" i="193"/>
  <c r="O141" i="193"/>
  <c r="O139" i="193"/>
  <c r="O138" i="193"/>
  <c r="O137" i="193"/>
  <c r="O136" i="193"/>
  <c r="O134" i="193"/>
  <c r="O133" i="193"/>
  <c r="O132" i="193"/>
  <c r="O131" i="193"/>
  <c r="O129" i="193"/>
  <c r="M10" i="62"/>
  <c r="L10" i="62"/>
  <c r="K10" i="62"/>
  <c r="J10" i="62"/>
  <c r="I10" i="62"/>
  <c r="H10" i="62"/>
  <c r="G10" i="62"/>
  <c r="F10" i="62"/>
  <c r="E10" i="62"/>
  <c r="D10" i="62"/>
  <c r="O124" i="193"/>
  <c r="O123" i="193"/>
  <c r="O122" i="193"/>
  <c r="O121" i="193"/>
  <c r="O120" i="193"/>
  <c r="N117" i="193"/>
  <c r="M9" i="62" s="1"/>
  <c r="M117" i="193"/>
  <c r="L9" i="62" s="1"/>
  <c r="L117" i="193"/>
  <c r="K9" i="62" s="1"/>
  <c r="K117" i="193"/>
  <c r="J9" i="62" s="1"/>
  <c r="J117" i="193"/>
  <c r="I9" i="62" s="1"/>
  <c r="I117" i="193"/>
  <c r="H9" i="62" s="1"/>
  <c r="H117" i="193"/>
  <c r="G9" i="62" s="1"/>
  <c r="G117" i="193"/>
  <c r="F9" i="62" s="1"/>
  <c r="F117" i="193"/>
  <c r="E9" i="62" s="1"/>
  <c r="E117" i="193"/>
  <c r="D9" i="62" s="1"/>
  <c r="O116" i="193"/>
  <c r="O114" i="193"/>
  <c r="O111" i="193"/>
  <c r="O109" i="193"/>
  <c r="O107" i="193"/>
  <c r="O106" i="193"/>
  <c r="O105" i="193"/>
  <c r="O104" i="193"/>
  <c r="O103" i="193"/>
  <c r="O102" i="193"/>
  <c r="O101" i="193"/>
  <c r="O100" i="193"/>
  <c r="O99" i="193"/>
  <c r="O98" i="193"/>
  <c r="O97" i="193"/>
  <c r="O95" i="193"/>
  <c r="O92" i="193"/>
  <c r="O91" i="193"/>
  <c r="M8" i="62"/>
  <c r="L8" i="62"/>
  <c r="K8" i="62"/>
  <c r="J8" i="62"/>
  <c r="I8" i="62"/>
  <c r="H8" i="62"/>
  <c r="G8" i="62"/>
  <c r="F8" i="62"/>
  <c r="E8" i="62"/>
  <c r="D8" i="62"/>
  <c r="O86" i="193"/>
  <c r="O85" i="193"/>
  <c r="O84" i="193"/>
  <c r="O83" i="193"/>
  <c r="O82" i="193"/>
  <c r="O81" i="193"/>
  <c r="O80" i="193"/>
  <c r="O79" i="193"/>
  <c r="O78" i="193"/>
  <c r="O77" i="193"/>
  <c r="O76" i="193"/>
  <c r="O75" i="193"/>
  <c r="O74" i="193"/>
  <c r="O73" i="193"/>
  <c r="O72" i="193"/>
  <c r="O71" i="193"/>
  <c r="O70" i="193"/>
  <c r="O69" i="193"/>
  <c r="O68" i="193"/>
  <c r="O67" i="193"/>
  <c r="O66" i="193"/>
  <c r="O65" i="193"/>
  <c r="O64" i="193"/>
  <c r="O63" i="193"/>
  <c r="O62" i="193"/>
  <c r="O61" i="193"/>
  <c r="O60" i="193"/>
  <c r="O59" i="193"/>
  <c r="O58" i="193"/>
  <c r="O57" i="193"/>
  <c r="O56" i="193"/>
  <c r="O55" i="193"/>
  <c r="O54" i="193"/>
  <c r="O53" i="193"/>
  <c r="O52" i="193"/>
  <c r="O51" i="193"/>
  <c r="O50" i="193"/>
  <c r="O49" i="193"/>
  <c r="O45" i="193"/>
  <c r="O44" i="193"/>
  <c r="O43" i="193"/>
  <c r="O42" i="193"/>
  <c r="O41" i="193"/>
  <c r="M7" i="62"/>
  <c r="L7" i="62"/>
  <c r="K7" i="62"/>
  <c r="J7" i="62"/>
  <c r="I7" i="62"/>
  <c r="H7" i="62"/>
  <c r="G7" i="62"/>
  <c r="F7" i="62"/>
  <c r="E7" i="62"/>
  <c r="D7" i="62"/>
  <c r="O35" i="193"/>
  <c r="O33" i="193"/>
  <c r="O32" i="193"/>
  <c r="O31" i="193"/>
  <c r="O29" i="193"/>
  <c r="O28" i="193"/>
  <c r="O27" i="193"/>
  <c r="N24" i="193"/>
  <c r="M6" i="62" s="1"/>
  <c r="M24" i="193"/>
  <c r="L6" i="62" s="1"/>
  <c r="L24" i="193"/>
  <c r="K6" i="62" s="1"/>
  <c r="K24" i="193"/>
  <c r="J6" i="62" s="1"/>
  <c r="J24" i="193"/>
  <c r="I6" i="62" s="1"/>
  <c r="I24" i="193"/>
  <c r="H6" i="62" s="1"/>
  <c r="H24" i="193"/>
  <c r="G6" i="62" s="1"/>
  <c r="O23" i="193"/>
  <c r="O22" i="193"/>
  <c r="N19" i="193"/>
  <c r="M5" i="62" s="1"/>
  <c r="M19" i="193"/>
  <c r="L19" i="193"/>
  <c r="K19" i="193"/>
  <c r="J5" i="62" s="1"/>
  <c r="J19" i="193"/>
  <c r="I5" i="62" s="1"/>
  <c r="I19" i="193"/>
  <c r="H5" i="62" s="1"/>
  <c r="H19" i="193"/>
  <c r="G19" i="193"/>
  <c r="F5" i="62" s="1"/>
  <c r="F19" i="193"/>
  <c r="E5" i="62" s="1"/>
  <c r="E19" i="193"/>
  <c r="D5" i="62" s="1"/>
  <c r="O18" i="193"/>
  <c r="O17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O88" i="193" l="1"/>
  <c r="Q715" i="194"/>
  <c r="Q721" i="194" s="1"/>
  <c r="O152" i="193"/>
  <c r="O38" i="193"/>
  <c r="Q174" i="194"/>
  <c r="Q219" i="194" s="1"/>
  <c r="O24" i="193"/>
  <c r="O126" i="193"/>
  <c r="O117" i="193"/>
  <c r="I157" i="193"/>
  <c r="H4" i="62"/>
  <c r="H157" i="193"/>
  <c r="G5" i="62"/>
  <c r="L157" i="193"/>
  <c r="L159" i="193" s="1"/>
  <c r="K5" i="62"/>
  <c r="J157" i="193"/>
  <c r="I4" i="62"/>
  <c r="O19" i="193"/>
  <c r="M157" i="193"/>
  <c r="L5" i="62"/>
  <c r="N157" i="193"/>
  <c r="N159" i="193" s="1"/>
  <c r="M4" i="62"/>
  <c r="E157" i="193"/>
  <c r="D4" i="62"/>
  <c r="F157" i="193"/>
  <c r="E4" i="62"/>
  <c r="G157" i="193"/>
  <c r="F4" i="62"/>
  <c r="K157" i="193"/>
  <c r="J4" i="62"/>
  <c r="Q226" i="194"/>
  <c r="Q231" i="194" s="1"/>
  <c r="Q470" i="194"/>
  <c r="Q594" i="194" s="1"/>
  <c r="L736" i="194"/>
  <c r="I5" i="63"/>
  <c r="G736" i="194"/>
  <c r="D5" i="63"/>
  <c r="K736" i="194"/>
  <c r="H5" i="63"/>
  <c r="O736" i="194"/>
  <c r="O738" i="194" s="1"/>
  <c r="L5" i="63"/>
  <c r="H736" i="194"/>
  <c r="E5" i="63"/>
  <c r="P736" i="194"/>
  <c r="P738" i="194" s="1"/>
  <c r="M5" i="63"/>
  <c r="Q609" i="194"/>
  <c r="Q616" i="194" s="1"/>
  <c r="Q634" i="194"/>
  <c r="Q641" i="194" s="1"/>
  <c r="Q665" i="194"/>
  <c r="Q668" i="194" s="1"/>
  <c r="Q40" i="194"/>
  <c r="Q343" i="194"/>
  <c r="Q459" i="194" s="1"/>
  <c r="Q735" i="194"/>
  <c r="J736" i="194"/>
  <c r="I736" i="194"/>
  <c r="M736" i="194"/>
  <c r="O157" i="193" l="1"/>
  <c r="D7" i="135" l="1"/>
  <c r="D11" i="135" s="1"/>
  <c r="C7" i="135"/>
  <c r="C11" i="135" s="1"/>
  <c r="F22" i="139"/>
  <c r="G737" i="194" s="1"/>
  <c r="G22" i="139"/>
  <c r="H737" i="194" s="1"/>
  <c r="H738" i="194" s="1"/>
  <c r="H22" i="139"/>
  <c r="I737" i="194" s="1"/>
  <c r="I738" i="194" s="1"/>
  <c r="I22" i="139"/>
  <c r="J737" i="194" s="1"/>
  <c r="J738" i="194" s="1"/>
  <c r="J22" i="139"/>
  <c r="K737" i="194" s="1"/>
  <c r="K738" i="194" s="1"/>
  <c r="K22" i="139"/>
  <c r="L737" i="194" s="1"/>
  <c r="L738" i="194" s="1"/>
  <c r="L22" i="139"/>
  <c r="M737" i="194" s="1"/>
  <c r="M738" i="194" s="1"/>
  <c r="M22" i="139"/>
  <c r="N737" i="194" s="1"/>
  <c r="N22" i="139"/>
  <c r="E8" i="157"/>
  <c r="E12" i="157"/>
  <c r="E19" i="157"/>
  <c r="E30" i="157"/>
  <c r="E37" i="157"/>
  <c r="F22" i="138"/>
  <c r="G22" i="138"/>
  <c r="H22" i="138"/>
  <c r="I22" i="138"/>
  <c r="J22" i="138"/>
  <c r="K22" i="138"/>
  <c r="L22" i="138"/>
  <c r="M22" i="138"/>
  <c r="O4" i="139"/>
  <c r="O5" i="139"/>
  <c r="O6" i="139"/>
  <c r="O7" i="139"/>
  <c r="O8" i="139"/>
  <c r="O9" i="139"/>
  <c r="O10" i="139"/>
  <c r="O11" i="139"/>
  <c r="O12" i="139"/>
  <c r="O13" i="139"/>
  <c r="O14" i="139"/>
  <c r="O15" i="139"/>
  <c r="O16" i="139"/>
  <c r="O17" i="139"/>
  <c r="O18" i="139"/>
  <c r="O19" i="139"/>
  <c r="O20" i="139"/>
  <c r="O21" i="139"/>
  <c r="C17" i="135"/>
  <c r="C23" i="135" s="1"/>
  <c r="D17" i="135"/>
  <c r="D23" i="135" s="1"/>
  <c r="H8" i="135"/>
  <c r="H11" i="135" s="1"/>
  <c r="H20" i="135"/>
  <c r="H23" i="135" s="1"/>
  <c r="P4" i="138"/>
  <c r="P5" i="138"/>
  <c r="P6" i="138"/>
  <c r="P7" i="138"/>
  <c r="P8" i="138"/>
  <c r="P9" i="138"/>
  <c r="P10" i="138"/>
  <c r="P11" i="138"/>
  <c r="P12" i="138"/>
  <c r="P13" i="138"/>
  <c r="P14" i="138"/>
  <c r="P15" i="138"/>
  <c r="P16" i="138"/>
  <c r="P17" i="138"/>
  <c r="P18" i="138"/>
  <c r="P19" i="138"/>
  <c r="P20" i="138"/>
  <c r="P21" i="138"/>
  <c r="N22" i="138"/>
  <c r="O22" i="138"/>
  <c r="I8" i="135"/>
  <c r="I11" i="135" s="1"/>
  <c r="I20" i="135"/>
  <c r="I23" i="135" s="1"/>
  <c r="J14" i="62" l="1"/>
  <c r="K158" i="193"/>
  <c r="K159" i="193" s="1"/>
  <c r="I14" i="62"/>
  <c r="J158" i="193"/>
  <c r="J159" i="193" s="1"/>
  <c r="E14" i="62"/>
  <c r="F158" i="193"/>
  <c r="F159" i="193" s="1"/>
  <c r="Q737" i="194"/>
  <c r="G738" i="194"/>
  <c r="F14" i="62"/>
  <c r="G158" i="193"/>
  <c r="G159" i="193" s="1"/>
  <c r="H14" i="62"/>
  <c r="I158" i="193"/>
  <c r="I159" i="193" s="1"/>
  <c r="D14" i="62"/>
  <c r="E158" i="193"/>
  <c r="L14" i="62"/>
  <c r="M158" i="193"/>
  <c r="M159" i="193" s="1"/>
  <c r="G14" i="62"/>
  <c r="H158" i="193"/>
  <c r="H159" i="193" s="1"/>
  <c r="J16" i="63"/>
  <c r="H16" i="63"/>
  <c r="F16" i="63"/>
  <c r="D16" i="63"/>
  <c r="K16" i="63"/>
  <c r="I16" i="63"/>
  <c r="G16" i="63"/>
  <c r="E16" i="63"/>
  <c r="O22" i="139"/>
  <c r="N7" i="63"/>
  <c r="H24" i="135"/>
  <c r="H26" i="135" s="1"/>
  <c r="N11" i="62"/>
  <c r="G15" i="63"/>
  <c r="N9" i="63"/>
  <c r="N10" i="63"/>
  <c r="C24" i="135"/>
  <c r="C26" i="135" s="1"/>
  <c r="N14" i="63"/>
  <c r="E13" i="62"/>
  <c r="I13" i="62"/>
  <c r="N6" i="62"/>
  <c r="L13" i="62"/>
  <c r="L15" i="63"/>
  <c r="L17" i="63" s="1"/>
  <c r="K13" i="62"/>
  <c r="K15" i="62" s="1"/>
  <c r="I24" i="135"/>
  <c r="I26" i="135" s="1"/>
  <c r="P22" i="138"/>
  <c r="D24" i="135"/>
  <c r="D26" i="135" s="1"/>
  <c r="M13" i="62"/>
  <c r="M15" i="62" s="1"/>
  <c r="H13" i="62"/>
  <c r="E31" i="157"/>
  <c r="E38" i="157" s="1"/>
  <c r="N9" i="62"/>
  <c r="N12" i="62"/>
  <c r="E15" i="63"/>
  <c r="H15" i="63"/>
  <c r="M15" i="63"/>
  <c r="M17" i="63" s="1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O158" i="193" l="1"/>
  <c r="O159" i="193" s="1"/>
  <c r="E159" i="193"/>
  <c r="F15" i="62"/>
  <c r="J15" i="62"/>
  <c r="I15" i="62"/>
  <c r="H15" i="62"/>
  <c r="L15" i="62"/>
  <c r="E17" i="63"/>
  <c r="E4" i="107" s="1"/>
  <c r="N16" i="63"/>
  <c r="E14" i="107"/>
  <c r="J17" i="63"/>
  <c r="E10" i="107" s="1"/>
  <c r="F17" i="63"/>
  <c r="E5" i="107" s="1"/>
  <c r="D17" i="63"/>
  <c r="E3" i="107" s="1"/>
  <c r="I17" i="63"/>
  <c r="E9" i="107" s="1"/>
  <c r="H17" i="63"/>
  <c r="E7" i="107" s="1"/>
  <c r="E15" i="62"/>
  <c r="G17" i="63"/>
  <c r="E6" i="107" s="1"/>
  <c r="N14" i="62"/>
  <c r="G15" i="62"/>
  <c r="N6" i="63"/>
  <c r="D15" i="62"/>
  <c r="N13" i="62"/>
  <c r="N5" i="62"/>
  <c r="N8" i="63"/>
  <c r="E8" i="107" l="1"/>
  <c r="N15" i="62"/>
  <c r="Q42" i="194"/>
  <c r="Q46" i="194" s="1"/>
  <c r="Q736" i="194" s="1"/>
  <c r="Q738" i="194" s="1"/>
  <c r="N46" i="194"/>
  <c r="K5" i="63" s="1"/>
  <c r="N5" i="63" l="1"/>
  <c r="N15" i="63" s="1"/>
  <c r="N17" i="63" s="1"/>
  <c r="K15" i="63"/>
  <c r="K17" i="63" s="1"/>
  <c r="E11" i="107" s="1"/>
  <c r="E12" i="107" s="1"/>
  <c r="E13" i="107" s="1"/>
  <c r="E15" i="107" s="1"/>
  <c r="N736" i="194"/>
  <c r="N738" i="194" s="1"/>
</calcChain>
</file>

<file path=xl/sharedStrings.xml><?xml version="1.0" encoding="utf-8"?>
<sst xmlns="http://schemas.openxmlformats.org/spreadsheetml/2006/main" count="2997" uniqueCount="1323">
  <si>
    <t>KEHOP-5.4.1-16-2016-00433 Szemléletformálási programok</t>
  </si>
  <si>
    <t>B14</t>
  </si>
  <si>
    <t>Működési célú visszatérítendő támogatások, kölcsönök visszatérülése államháztartáson belülről</t>
  </si>
  <si>
    <t>8.) Forgatási célú értékpapír vásárlás hazai forrásból átmenetileg szabad pénzeszközökből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</si>
  <si>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</si>
  <si>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</si>
  <si>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</si>
  <si>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</si>
  <si>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</si>
  <si>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</si>
  <si>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</si>
  <si>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</si>
  <si>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</si>
  <si>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</si>
  <si>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</si>
  <si>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</si>
  <si>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</si>
  <si>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</si>
  <si>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</si>
  <si>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</si>
  <si>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</si>
  <si>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</si>
  <si>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</si>
  <si>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</si>
  <si>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</si>
  <si>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</si>
  <si>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</si>
  <si>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</si>
  <si>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</si>
  <si>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B115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</si>
  <si>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</si>
  <si>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</si>
  <si>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</si>
  <si>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</si>
  <si>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</si>
  <si>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</si>
  <si>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</si>
  <si>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</si>
  <si>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</si>
  <si>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</si>
  <si>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</si>
  <si>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</si>
  <si>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</si>
  <si>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</si>
  <si>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</si>
  <si>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</si>
  <si>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</si>
  <si>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</si>
  <si>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</si>
  <si>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</si>
  <si>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</si>
  <si>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</si>
  <si>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</si>
  <si>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</si>
  <si>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</si>
  <si>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</si>
  <si>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</si>
  <si>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</si>
  <si>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</si>
  <si>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</si>
  <si>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</si>
  <si>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</si>
  <si>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</si>
  <si>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</si>
  <si>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</si>
  <si>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</si>
  <si>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</si>
  <si>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</si>
  <si>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</si>
  <si>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</si>
  <si>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</si>
  <si>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</si>
  <si>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</si>
  <si>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</si>
  <si>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</si>
  <si>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</si>
  <si>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</si>
  <si>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</si>
  <si>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</si>
  <si>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</si>
  <si>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</si>
  <si>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</si>
  <si>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</si>
  <si>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</si>
  <si>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</si>
  <si>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</si>
  <si>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</si>
  <si>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</si>
  <si>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</si>
  <si>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</si>
  <si>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</si>
  <si>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</si>
  <si>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</si>
  <si>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</si>
  <si>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</si>
  <si>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</si>
  <si>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Működési célú költségvetési támogatások és kiegészítő támogatások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</si>
  <si>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</si>
  <si>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</si>
  <si>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</si>
  <si>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</si>
  <si>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</si>
  <si>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</si>
  <si>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</si>
  <si>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</si>
  <si>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</si>
  <si>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</si>
  <si>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</si>
  <si>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</si>
  <si>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</si>
  <si>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</si>
  <si>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</si>
  <si>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</si>
  <si>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</si>
  <si>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</si>
  <si>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</si>
  <si>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</si>
  <si>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</si>
  <si>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</si>
  <si>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</si>
  <si>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</si>
  <si>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</si>
  <si>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</si>
  <si>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</si>
  <si>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</si>
  <si>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</si>
  <si>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</si>
  <si>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</si>
  <si>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</si>
  <si>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</si>
  <si>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</si>
  <si>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</si>
  <si>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</si>
  <si>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</si>
  <si>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</si>
  <si>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</si>
  <si>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</si>
  <si>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</si>
  <si>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</si>
  <si>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</si>
  <si>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</si>
  <si>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</si>
  <si>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</si>
  <si>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</si>
  <si>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</si>
  <si>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</si>
  <si>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</si>
  <si>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</si>
  <si>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</si>
  <si>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</si>
  <si>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</si>
  <si>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</si>
  <si>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</si>
  <si>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</si>
  <si>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Göcseji Múzeum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</si>
  <si>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</si>
  <si>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</si>
  <si>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</si>
  <si>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</si>
  <si>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</si>
  <si>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</si>
  <si>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</si>
  <si>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</si>
  <si>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</si>
  <si>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</si>
  <si>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TOP-6.1.4-15-ZL1-2016-00001 "Zalaegerszeg turisztikai vonzerejének növelése a " SMART City" eszközrendszerével"</t>
  </si>
  <si>
    <t>TOP 6.5.1-15-ZL1-2016-0004 Landorhegyi Sportiskolai Általános Iskola energetikai korszerűsítése</t>
  </si>
  <si>
    <t>TOP-6.1.4-15-ZL1-2016-00002 Zalaegerszegi Göcseji Falumúzeum fejlesztése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</si>
  <si>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</si>
  <si>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</si>
  <si>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</si>
  <si>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TOP-6.1.4-16-ZL1-2017-00002 Göcseji Múzeum épületének felújítása és kiállító tereinek fejlesztése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</si>
  <si>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</si>
  <si>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</si>
  <si>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</si>
  <si>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</si>
  <si>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</si>
  <si>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</si>
  <si>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</si>
  <si>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</si>
  <si>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</si>
  <si>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</si>
  <si>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</si>
  <si>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</si>
  <si>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</si>
  <si>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</si>
  <si>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</si>
  <si>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</si>
  <si>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</si>
  <si>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</si>
  <si>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</si>
  <si>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</si>
  <si>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</si>
  <si>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</si>
  <si>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</si>
  <si>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</si>
  <si>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</si>
  <si>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</si>
  <si>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</si>
  <si>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</si>
  <si>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</si>
  <si>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</si>
  <si>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</si>
  <si>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</si>
  <si>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</si>
  <si>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</si>
  <si>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</si>
  <si>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</si>
  <si>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</si>
  <si>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</si>
  <si>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Hozzájárulás       ezer Ft-ban</t>
  </si>
  <si>
    <t>2. melléklet szerinti jogcímek</t>
  </si>
  <si>
    <t>lakosságszám</t>
  </si>
  <si>
    <t>mutató</t>
  </si>
  <si>
    <t>Állami hozzájárulás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</si>
  <si>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</si>
  <si>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</si>
  <si>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</si>
  <si>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</si>
  <si>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</si>
  <si>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</si>
  <si>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</si>
  <si>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</si>
  <si>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</si>
  <si>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</si>
  <si>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</si>
  <si>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</si>
  <si>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</si>
  <si>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</si>
  <si>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</si>
  <si>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</si>
  <si>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</si>
  <si>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</si>
  <si>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</si>
  <si>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</si>
  <si>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</si>
  <si>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</si>
  <si>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</si>
  <si>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</si>
  <si>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</si>
  <si>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</si>
  <si>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</si>
  <si>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</si>
  <si>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</si>
  <si>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</si>
  <si>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</si>
  <si>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</si>
  <si>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</si>
  <si>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ELENA programhoz önerő és bérfedezet megtérülése</t>
  </si>
  <si>
    <t xml:space="preserve"> - EcoSmartCities Interreg HU-HR projekt</t>
  </si>
  <si>
    <t xml:space="preserve"> -  Hotelfejlesztés engedélyes és kiviteli terveinek elkészítéséhez támogatás</t>
  </si>
  <si>
    <t xml:space="preserve"> - TOP-6.1.4-15-ZL1-2016-00002 Zalaegerszegi Göcseji Falumúzeum fejlesztése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</si>
  <si>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</si>
  <si>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</si>
  <si>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</si>
  <si>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</si>
  <si>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</si>
  <si>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TOP-6.1.4-15-ZL1-2016-00001 "Zalaegerszeg turisztikai vonzerejének növelése a " SMART City" eszközrendszerével"</t>
  </si>
  <si>
    <t xml:space="preserve"> - TOP-6.3.2-15-ZL1-2016-00003 Városi terek élhetőbbé tétele - Vizslapark rekonstrukció</t>
  </si>
  <si>
    <t xml:space="preserve"> - TOP 6.5.1-15-ZL1-2016-0004 Landorhegyi Sportiskolai Általános Iskola energetikai korszerűsítése</t>
  </si>
  <si>
    <t xml:space="preserve"> - TOP-6.1.2-16-ZL1-2017-00001 Inkubátorház bővítés Zalaegerszegen-III.ütem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</si>
  <si>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</si>
  <si>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</si>
  <si>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</si>
  <si>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</si>
  <si>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</si>
  <si>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</si>
  <si>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</si>
  <si>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</si>
  <si>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</si>
  <si>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Uszoda tervezés és megvalósítás MVP támogatásból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</si>
  <si>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</si>
  <si>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</si>
  <si>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</si>
  <si>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KEHOP-5.4.1-16-2016-00433 Szemléletformálási programok</t>
  </si>
  <si>
    <t xml:space="preserve"> - KEHOP-1.2.1-18-2018-00024 ZMJV helyi klímastratégiájának kidolgozása, helyi klímatudatosságot erősítő szemléletformálás</t>
  </si>
  <si>
    <t xml:space="preserve"> - "Infrastrukturális fejlesztések Zalaegerszegen"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</si>
  <si>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</si>
  <si>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</si>
  <si>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</si>
  <si>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</si>
  <si>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</si>
  <si>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</si>
  <si>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</si>
  <si>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</si>
  <si>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</si>
  <si>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</si>
  <si>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</si>
  <si>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</si>
  <si>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</si>
  <si>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</si>
  <si>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</si>
  <si>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</si>
  <si>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</si>
  <si>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</si>
  <si>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</si>
  <si>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</si>
  <si>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</si>
  <si>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</si>
  <si>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</si>
  <si>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</si>
  <si>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</si>
  <si>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</si>
  <si>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</si>
  <si>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</si>
  <si>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</si>
  <si>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</si>
  <si>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</si>
  <si>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</si>
  <si>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</si>
  <si>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</si>
  <si>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</si>
  <si>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</si>
  <si>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</si>
  <si>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</si>
  <si>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</si>
  <si>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</si>
  <si>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</si>
  <si>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</si>
  <si>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</si>
  <si>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</si>
  <si>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</si>
  <si>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</si>
  <si>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</si>
  <si>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</si>
  <si>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</si>
  <si>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</si>
  <si>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</si>
  <si>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</si>
  <si>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</si>
  <si>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</si>
  <si>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</si>
  <si>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</si>
  <si>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</si>
  <si>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</si>
  <si>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</si>
  <si>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</si>
  <si>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</si>
  <si>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</si>
  <si>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</si>
  <si>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</si>
  <si>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</si>
  <si>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</si>
  <si>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</si>
  <si>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</si>
  <si>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</si>
  <si>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</si>
  <si>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</si>
  <si>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</si>
  <si>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</si>
  <si>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</si>
  <si>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</si>
  <si>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</si>
  <si>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</si>
  <si>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</si>
  <si>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</si>
  <si>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</si>
  <si>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</si>
  <si>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</si>
  <si>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</si>
  <si>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</si>
  <si>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</si>
  <si>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</si>
  <si>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</si>
  <si>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</si>
  <si>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</si>
  <si>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</si>
  <si>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</si>
  <si>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</si>
  <si>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</si>
  <si>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</si>
  <si>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</si>
  <si>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</si>
  <si>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</si>
  <si>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</si>
  <si>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</si>
  <si>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</si>
  <si>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</si>
  <si>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</si>
  <si>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</si>
  <si>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</si>
  <si>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</si>
  <si>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</si>
  <si>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</si>
  <si>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</si>
  <si>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</si>
  <si>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Gébárti Művésztelep</t>
  </si>
  <si>
    <t xml:space="preserve"> -  táncház mozgalom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</si>
  <si>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</si>
  <si>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</si>
  <si>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</si>
  <si>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</si>
  <si>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</si>
  <si>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</si>
  <si>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</si>
  <si>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</si>
  <si>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</si>
  <si>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</si>
  <si>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</si>
  <si>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</si>
  <si>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</si>
  <si>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</si>
  <si>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</si>
  <si>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</si>
  <si>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</si>
  <si>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</si>
  <si>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</si>
  <si>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</si>
  <si>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</si>
  <si>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</si>
  <si>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</si>
  <si>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</si>
  <si>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</si>
  <si>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</si>
  <si>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</si>
  <si>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</si>
  <si>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</si>
  <si>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</si>
  <si>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</si>
  <si>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</si>
  <si>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</si>
  <si>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</si>
  <si>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</si>
  <si>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</si>
  <si>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</si>
  <si>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</si>
  <si>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</si>
  <si>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</si>
  <si>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</si>
  <si>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</si>
  <si>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</si>
  <si>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</si>
  <si>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</si>
  <si>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</si>
  <si>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</si>
  <si>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</si>
  <si>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</si>
  <si>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</si>
  <si>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</si>
  <si>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ZTE Női Kosárlabda Klub Kft.támogatása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</si>
  <si>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</si>
  <si>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</si>
  <si>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</si>
  <si>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</si>
  <si>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</si>
  <si>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</si>
  <si>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</si>
  <si>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</si>
  <si>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</si>
  <si>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</si>
  <si>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</si>
  <si>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</si>
  <si>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</si>
  <si>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</si>
  <si>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</si>
  <si>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</si>
  <si>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</si>
  <si>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</si>
  <si>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</si>
  <si>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1./1.</t>
  </si>
  <si>
    <t xml:space="preserve">              Óvodák </t>
  </si>
  <si>
    <t>1./1./1</t>
  </si>
  <si>
    <t>1./1./2</t>
  </si>
  <si>
    <t>Andráshidai Óvoda eszközfejlesztése</t>
  </si>
  <si>
    <t>1./1./3</t>
  </si>
  <si>
    <t>1./1./4</t>
  </si>
  <si>
    <t>1./1./5</t>
  </si>
  <si>
    <t>Óvodák felújítása</t>
  </si>
  <si>
    <t>1./2.</t>
  </si>
  <si>
    <t xml:space="preserve">             Általános iskolák</t>
  </si>
  <si>
    <t>1./2/1</t>
  </si>
  <si>
    <t>Öveges József Általános Iskola eszközfejlesztése</t>
  </si>
  <si>
    <t>1./2/5</t>
  </si>
  <si>
    <t>1./2/6</t>
  </si>
  <si>
    <t>2./1</t>
  </si>
  <si>
    <t>2./2</t>
  </si>
  <si>
    <t xml:space="preserve">                 Egészségügyi és humánigazgatási feladatok</t>
  </si>
  <si>
    <t>3./1</t>
  </si>
  <si>
    <t>3./2</t>
  </si>
  <si>
    <t>Bölcsődék felújítása</t>
  </si>
  <si>
    <t>6.a/1</t>
  </si>
  <si>
    <t>6.a/2</t>
  </si>
  <si>
    <t>6.a/3</t>
  </si>
  <si>
    <t>6.a/4</t>
  </si>
  <si>
    <t>Zalaegerszegi Egyesített Bölcsődék Tipegő Bölcsőde főzőkonyha felújítása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</si>
  <si>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</si>
  <si>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</si>
  <si>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</si>
  <si>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</si>
  <si>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</si>
  <si>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</si>
  <si>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</si>
  <si>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</si>
  <si>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</si>
  <si>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</si>
  <si>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</si>
  <si>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</si>
  <si>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</si>
  <si>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</si>
  <si>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</si>
  <si>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</si>
  <si>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</si>
  <si>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okos kukák üzemeltetése</t>
  </si>
  <si>
    <t xml:space="preserve"> - köztéri  padok és bútorok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</si>
  <si>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</si>
  <si>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</si>
  <si>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</si>
  <si>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</si>
  <si>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</si>
  <si>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</si>
  <si>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</si>
  <si>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</si>
  <si>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</si>
  <si>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</si>
  <si>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</si>
  <si>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</si>
  <si>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Piac környezete fenntartási munkái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</si>
  <si>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</si>
  <si>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</si>
  <si>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</si>
  <si>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</si>
  <si>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Platán sor lokális útjavítás </t>
  </si>
  <si>
    <t xml:space="preserve"> - info tornyok üzemeltetése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</si>
  <si>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</si>
  <si>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</si>
  <si>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</si>
  <si>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</si>
  <si>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</si>
  <si>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</si>
  <si>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</si>
  <si>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</si>
  <si>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</si>
  <si>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</si>
  <si>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</si>
  <si>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</si>
  <si>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</si>
  <si>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</si>
  <si>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</si>
  <si>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</si>
  <si>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</si>
  <si>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</si>
  <si>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</si>
  <si>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</si>
  <si>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</si>
  <si>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</si>
  <si>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</si>
  <si>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</si>
  <si>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t xml:space="preserve"> - vízbázisok védőövezeteinek ingatlannyilvántartásba történő bejegyzése</t>
  </si>
  <si>
    <t>- viziközművek területigénylésével kapcsolatos költségek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</si>
  <si>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</si>
  <si>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</si>
  <si>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</si>
  <si>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</si>
  <si>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</si>
  <si>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</si>
  <si>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</si>
  <si>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</si>
  <si>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</si>
  <si>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</si>
  <si>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</si>
  <si>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</si>
  <si>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</si>
  <si>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</si>
  <si>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</si>
  <si>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</si>
  <si>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</si>
  <si>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</si>
  <si>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</si>
  <si>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</si>
  <si>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</si>
  <si>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 xml:space="preserve"> -  Fürdő létesítményekhez kapcsolódó kisértékű eszközök beszerzése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</si>
  <si>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</si>
  <si>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</si>
  <si>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</si>
  <si>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</si>
  <si>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</si>
  <si>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</si>
  <si>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</si>
  <si>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</si>
  <si>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</si>
  <si>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köztéri műalkotások, épületek megvilágításának karbantartása 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</si>
  <si>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</si>
  <si>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</si>
  <si>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</si>
  <si>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</si>
  <si>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</si>
  <si>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</si>
  <si>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</si>
  <si>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</si>
  <si>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</si>
  <si>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</si>
  <si>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</si>
  <si>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1./4</t>
  </si>
  <si>
    <t>1.a/3</t>
  </si>
  <si>
    <t>Ságodi patak rendezése</t>
  </si>
  <si>
    <t>1.a/4</t>
  </si>
  <si>
    <t>Csapadékvízelvezetéssel, vízrendezésekkel kapcsolatos tervezési díjak</t>
  </si>
  <si>
    <t>1.a/5</t>
  </si>
  <si>
    <t>Lokális csapadékvízelvezető létesítmények felújítása</t>
  </si>
  <si>
    <t>Ivóvíz beruházások</t>
  </si>
  <si>
    <t xml:space="preserve">Közvilágítás és egyéb közmű </t>
  </si>
  <si>
    <t>3./3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</si>
  <si>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</si>
  <si>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</si>
  <si>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</si>
  <si>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</si>
  <si>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</si>
  <si>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</si>
  <si>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</si>
  <si>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</si>
  <si>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4./6</t>
  </si>
  <si>
    <t>4./7</t>
  </si>
  <si>
    <t>4./8</t>
  </si>
  <si>
    <t>Zala utca parkoló építése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</si>
  <si>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</si>
  <si>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</si>
  <si>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</si>
  <si>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</si>
  <si>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</si>
  <si>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</si>
  <si>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</si>
  <si>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</si>
  <si>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4./17</t>
  </si>
  <si>
    <t>4./18</t>
  </si>
  <si>
    <t>4./19</t>
  </si>
  <si>
    <t>4./20</t>
  </si>
  <si>
    <t>4./21</t>
  </si>
  <si>
    <t>4./22</t>
  </si>
  <si>
    <t>Erdődy-Hűvös Kastély park - Botfa utca közötti útszakasz felújítása</t>
  </si>
  <si>
    <t>Járdafelújítások Zalabesenyőben</t>
  </si>
  <si>
    <t xml:space="preserve"> Kertvárosi  utak, járdák felújítása,  parkoló </t>
  </si>
  <si>
    <t>Nyerges utca járdafelújítás I. ütem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</si>
  <si>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</si>
  <si>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</si>
  <si>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</si>
  <si>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</si>
  <si>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</si>
  <si>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</si>
  <si>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</si>
  <si>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</si>
  <si>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</si>
  <si>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</si>
  <si>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</si>
  <si>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</si>
  <si>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</si>
  <si>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</si>
  <si>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</si>
  <si>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5./1</t>
  </si>
  <si>
    <t>5./2</t>
  </si>
  <si>
    <t>5./3</t>
  </si>
  <si>
    <t>5./4</t>
  </si>
  <si>
    <t>5./5</t>
  </si>
  <si>
    <t>5./6</t>
  </si>
  <si>
    <t>5./7</t>
  </si>
  <si>
    <t>Hidegkúti forrás kiépítése</t>
  </si>
  <si>
    <t>5.a/1</t>
  </si>
  <si>
    <t>5.a/2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</si>
  <si>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</si>
  <si>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</si>
  <si>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</si>
  <si>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</si>
  <si>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</si>
  <si>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</si>
  <si>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</si>
  <si>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</si>
  <si>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</si>
  <si>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</si>
  <si>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</si>
  <si>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</si>
  <si>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</si>
  <si>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</si>
  <si>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</si>
  <si>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</si>
  <si>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</si>
  <si>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</si>
  <si>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</si>
  <si>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</si>
  <si>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</si>
  <si>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</si>
  <si>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</si>
  <si>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</si>
  <si>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</si>
  <si>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</si>
  <si>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</si>
  <si>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</si>
  <si>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</si>
  <si>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</si>
  <si>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</si>
  <si>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</si>
  <si>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</si>
  <si>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</si>
  <si>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Szenterzsébethegy - közösségi ház és kert fejlesztése</t>
  </si>
  <si>
    <t>Kiemelt projektek</t>
  </si>
  <si>
    <t>Előtervezések</t>
  </si>
  <si>
    <t>Előtervezések magasépítési feladatokhoz</t>
  </si>
  <si>
    <t>7.a./1</t>
  </si>
  <si>
    <t>Buslakpuszta hulladékdepó bővítéséhez területszerzés, kisajátítás</t>
  </si>
  <si>
    <t>Egyéb önkormányzati lakások felújítása lakásalap</t>
  </si>
  <si>
    <t>9./3</t>
  </si>
  <si>
    <t>9./4</t>
  </si>
  <si>
    <t>9./5</t>
  </si>
  <si>
    <t>Aquacity felújítások</t>
  </si>
  <si>
    <t>9.a/8</t>
  </si>
  <si>
    <t>Ebergényi Közösségi tér fejlesztése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</si>
  <si>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</si>
  <si>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</si>
  <si>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</si>
  <si>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</si>
  <si>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</si>
  <si>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</si>
  <si>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</si>
  <si>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</si>
  <si>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</si>
  <si>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</si>
  <si>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</si>
  <si>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10./1.a./12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</si>
  <si>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</si>
  <si>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</si>
  <si>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</si>
  <si>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</si>
  <si>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</si>
  <si>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</si>
  <si>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</si>
  <si>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</si>
  <si>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</si>
  <si>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 xml:space="preserve"> TOP-6.1.1-16-ZL1-2017-00001 Üzemcsarnok építés a Zalaegerszeg 4815/6 hrsz-ú ingatlanon </t>
  </si>
  <si>
    <t>10./1.a./22</t>
  </si>
  <si>
    <t>10./1.a./23</t>
  </si>
  <si>
    <t>10./2.a</t>
  </si>
  <si>
    <t>"Infrastrukturális fejlesztések Zalaegerszegen"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</si>
  <si>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</si>
  <si>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</si>
  <si>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</si>
  <si>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</si>
  <si>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</si>
  <si>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Uszoda tervezés és megvalósítás MVP támogatásból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</si>
  <si>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</si>
  <si>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</si>
  <si>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</si>
  <si>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</si>
  <si>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</si>
  <si>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</si>
  <si>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</si>
  <si>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</si>
  <si>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</si>
  <si>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</si>
  <si>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</si>
  <si>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</si>
  <si>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</si>
  <si>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10./5.</t>
  </si>
  <si>
    <t>Egyéb stratégiai feladat</t>
  </si>
  <si>
    <t>10./5.1</t>
  </si>
  <si>
    <t>10./5.2</t>
  </si>
  <si>
    <t xml:space="preserve"> Hotelfejlesztés engedélyes és kiviteli terveinek elkészítéséhez támogatás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</si>
  <si>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</si>
  <si>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</si>
  <si>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</si>
  <si>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</si>
  <si>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</si>
  <si>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</si>
  <si>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</si>
  <si>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</si>
  <si>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</si>
  <si>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</si>
  <si>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</si>
  <si>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</si>
  <si>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</si>
  <si>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</si>
  <si>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</si>
  <si>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</si>
  <si>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</si>
  <si>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</si>
  <si>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Gébárti tó fejlesztéséhez kapcsolódó ingatlanszerzés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</si>
  <si>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</si>
  <si>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</si>
  <si>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</si>
  <si>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</si>
  <si>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</si>
  <si>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</si>
  <si>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</si>
  <si>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</si>
  <si>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</si>
  <si>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</si>
  <si>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</si>
  <si>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</si>
  <si>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</si>
  <si>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</si>
  <si>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</si>
  <si>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</si>
  <si>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Kamerarendszer a buszállomás környékére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</si>
  <si>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</si>
  <si>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</si>
  <si>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</si>
  <si>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</si>
  <si>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</si>
  <si>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</si>
  <si>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</si>
  <si>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</si>
  <si>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</si>
  <si>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</si>
  <si>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</si>
  <si>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</si>
  <si>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</si>
  <si>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</si>
  <si>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</si>
  <si>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</si>
  <si>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</si>
  <si>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</si>
  <si>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</si>
  <si>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</si>
  <si>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</si>
  <si>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</si>
  <si>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</si>
  <si>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</si>
  <si>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</si>
  <si>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</si>
  <si>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</si>
  <si>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</si>
  <si>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</si>
  <si>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</si>
  <si>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</si>
  <si>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</si>
  <si>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</si>
  <si>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</si>
  <si>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</si>
  <si>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</si>
  <si>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</si>
  <si>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</si>
  <si>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</si>
  <si>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</si>
  <si>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</si>
  <si>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</si>
  <si>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</si>
  <si>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</si>
  <si>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</si>
  <si>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</si>
  <si>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</si>
  <si>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</si>
  <si>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 xml:space="preserve"> - Formula Student East rendezvény támogatása Járműmérnökök Egyesülete részére</t>
  </si>
  <si>
    <t>Polgármesteri Kabinet működési kiadásai összesen:</t>
  </si>
  <si>
    <t>Beruházási és felújítási kiadások</t>
  </si>
  <si>
    <t>1.a/1.</t>
  </si>
  <si>
    <t>Túrautvonalak fejlesztése Aqua jótékonysági nap bevételéből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</si>
  <si>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</si>
  <si>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</si>
  <si>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</si>
  <si>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</si>
  <si>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</si>
  <si>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</si>
  <si>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</si>
  <si>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</si>
  <si>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</si>
  <si>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</si>
  <si>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</si>
  <si>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</si>
  <si>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</si>
  <si>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</si>
  <si>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</si>
  <si>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>Önkormányzati ingatlanok gáznyomás szabályzók rekonstrukciója</t>
  </si>
  <si>
    <t xml:space="preserve"> -  szennyvíz vagyon használati díja és Áfa visszaig.</t>
  </si>
  <si>
    <t xml:space="preserve"> - ivóvíz  vagyon használati díja és  Áfa visszaig.+ KIEFO</t>
  </si>
  <si>
    <t xml:space="preserve"> - Járműipari és logisztikai országos konferencia megrendezése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</si>
  <si>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</si>
  <si>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</si>
  <si>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</si>
  <si>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2./3</t>
  </si>
  <si>
    <t>Sportfeladatok</t>
  </si>
  <si>
    <t>- Kamaratáncfesztivál</t>
  </si>
  <si>
    <t>Dózsa Iskola C+ tornaterem elektromos hálózatfejlesztés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</si>
  <si>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</si>
  <si>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</si>
  <si>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</si>
  <si>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</si>
  <si>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</si>
  <si>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</si>
  <si>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</si>
  <si>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</si>
  <si>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 xml:space="preserve"> -TOP-7.1.1-16-H-ESZA-2019-01185 Interaktív történelmi séták Zalaegerszegen</t>
  </si>
  <si>
    <t xml:space="preserve"> - TOP-6.4.1-15-ZL1-2020-00002 Fenntartható közlekedésfejlesztési beavatkozások a belváros keleti kapujában (Tesco körforgalom)</t>
  </si>
  <si>
    <t>Modern Városok Program keretében tervezett közúthálózat és kapcsolódó tereinek fejlesztései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</si>
  <si>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</si>
  <si>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</si>
  <si>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</si>
  <si>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</si>
  <si>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>2020. évről áthúzódó feladat</t>
  </si>
  <si>
    <t xml:space="preserve"> - angol nyelvű óvodai csoport dolgozói részére angol nyelvi felkészítő támogatása</t>
  </si>
  <si>
    <t xml:space="preserve"> - folk hétvége</t>
  </si>
  <si>
    <t xml:space="preserve"> - Kórusfesztivál</t>
  </si>
  <si>
    <t xml:space="preserve"> - Hevesi Sándor Színház társműködtetöi támogatás átadása</t>
  </si>
  <si>
    <t xml:space="preserve"> - Griff Bábszínház társműködtetöi támogatás átadása</t>
  </si>
  <si>
    <t>074040 Fertőző megbetegedések megelőzése,járványügyi ellátás</t>
  </si>
  <si>
    <t xml:space="preserve"> - járványügyi védekezésre</t>
  </si>
  <si>
    <t>"Nemzeti Ovi-Sport Program" című pályázaton való részvétel (Bazitai és Ságodi  tagóvodák) önrész és előkészítő munkák</t>
  </si>
  <si>
    <t>Mikes utcai Óvoda fejlesztése</t>
  </si>
  <si>
    <t>2./4</t>
  </si>
  <si>
    <t xml:space="preserve"> - Gébárti tó környezetének rendbetétele</t>
  </si>
  <si>
    <t xml:space="preserve"> - okos zebrák üzemeltetése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</si>
  <si>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</si>
  <si>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</si>
  <si>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Vízelvezetési problémák megoldása Botfán</t>
  </si>
  <si>
    <t>Pityke utca közvilágítás</t>
  </si>
  <si>
    <t>Városi hidak hídfővizsgálatai</t>
  </si>
  <si>
    <t>Ebergényi úti buszmegálló felújítása</t>
  </si>
  <si>
    <t>Járdajavítások infratechnológiával</t>
  </si>
  <si>
    <t>Petőfi utca járdafelújítás</t>
  </si>
  <si>
    <t>Ola utca 14-16. előtti járda felújítása</t>
  </si>
  <si>
    <t>Bazitai templom előtti járda</t>
  </si>
  <si>
    <t>Landorhegyi u. 28. mögötti területen parkoló és járda térköves burkolása</t>
  </si>
  <si>
    <t>Gépjármű elkerülő szakasz építése a Rövid – Jánkán</t>
  </si>
  <si>
    <t xml:space="preserve">Stromfeld Aurél u. járdafelújítás </t>
  </si>
  <si>
    <t>Göcseji u. 45. sz. alatti társasház környezetének megújítása</t>
  </si>
  <si>
    <t>Pálóczi Horváth Ádám utca járdafelújítás</t>
  </si>
  <si>
    <t xml:space="preserve">Ságodi út járda rehabilitációja I. ütem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</si>
  <si>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</si>
  <si>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</si>
  <si>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</si>
  <si>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</si>
  <si>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</si>
  <si>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</si>
  <si>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</si>
  <si>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</si>
  <si>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</si>
  <si>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8./1.</t>
  </si>
  <si>
    <t>Gébárti tó fejlesztési, üzemeltetési, magasabb szintű fenntartási feladatai VÜCS</t>
  </si>
  <si>
    <t>Nem víziközmű vagyon fejlesztése</t>
  </si>
  <si>
    <t>Ivóvízvezeték fejlesztések</t>
  </si>
  <si>
    <t>Szenterzsébethegyi közvilágítás fejlesztése</t>
  </si>
  <si>
    <t>6./1</t>
  </si>
  <si>
    <t>Vizslaparki pavilon hálózatfejlesztés</t>
  </si>
  <si>
    <t>Vásárcsarnok vizesblokk felújítás</t>
  </si>
  <si>
    <t xml:space="preserve">Botfai közösségi ház bejárat és kapu felújítása </t>
  </si>
  <si>
    <t>Önkormányzat tulajdonában lévő mintegy 20 db bérlakás   teljes vagy részleges  felújítása, korszerűsítése  (Lakásalap)</t>
  </si>
  <si>
    <t>Vorhota, közösségi tér és ház fejlesztés</t>
  </si>
  <si>
    <t>Ady u.15. és 17. számú ingatlanok között lévő ingatlanon új elektromos tolókapu építése</t>
  </si>
  <si>
    <t>Aquacity felújításának kiviteli szintű tervdokumentációja</t>
  </si>
  <si>
    <t>TOP-6.4.1-15-ZL1-2020-00002 Fenntartható közlekedésfejlesztési beavatkozások a belváros keleti kapujában (Tesco körforgalom)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</si>
  <si>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</si>
  <si>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</si>
  <si>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Stratégiai előkészítő feladatok</t>
  </si>
  <si>
    <t>Műszaki ellenőri feladatok ellátása</t>
  </si>
  <si>
    <t>Területvásárlások a TOP 6.1.1-16 Zalaegerszegi logisztikai Központ projekthez és egyéb fejlesztésekhez</t>
  </si>
  <si>
    <t>ELENA program bérek fedezetének átadása</t>
  </si>
  <si>
    <t xml:space="preserve"> - ZALAZONE terület értékesítés és művelési ágból történő kivonás</t>
  </si>
  <si>
    <t xml:space="preserve"> - Országos Vadpörkölt és Borfesztivál megrendezése</t>
  </si>
  <si>
    <t xml:space="preserve"> - Városfejlesztő Zrt. működési kiadása</t>
  </si>
  <si>
    <t xml:space="preserve"> - Adományközpont működtetési támogatása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</si>
  <si>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</si>
  <si>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</si>
  <si>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</si>
  <si>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</si>
  <si>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</si>
  <si>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</si>
  <si>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</si>
  <si>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</si>
  <si>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</si>
  <si>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</si>
  <si>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</si>
  <si>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</si>
  <si>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</si>
  <si>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</si>
  <si>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</si>
  <si>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</si>
  <si>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</si>
  <si>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</si>
  <si>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</si>
  <si>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</si>
  <si>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</si>
  <si>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</si>
  <si>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</si>
  <si>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</si>
  <si>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</si>
  <si>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</si>
  <si>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</si>
  <si>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</si>
  <si>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</si>
  <si>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</si>
  <si>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</si>
  <si>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</si>
  <si>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</si>
  <si>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</si>
  <si>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</si>
  <si>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</si>
  <si>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</si>
  <si>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</si>
  <si>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</si>
  <si>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</si>
  <si>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</si>
  <si>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</si>
  <si>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</si>
  <si>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</si>
  <si>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</si>
  <si>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Helyi önkormányzatok általános működésének és ágazati feladatainak állami támogatása</t>
  </si>
  <si>
    <t xml:space="preserve"> - kamatmentes hitelek és kölcsön  törlesztéséből  Lakásalap</t>
  </si>
  <si>
    <t>10./4.a/4</t>
  </si>
  <si>
    <t>10./4.a/5</t>
  </si>
  <si>
    <t>10./4.a/6</t>
  </si>
  <si>
    <t>10./5.3</t>
  </si>
  <si>
    <t>10./5.4</t>
  </si>
  <si>
    <t>10./5.6</t>
  </si>
  <si>
    <t>10./5.7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</si>
  <si>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</si>
  <si>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</si>
  <si>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</si>
  <si>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3./4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</si>
  <si>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</si>
  <si>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</si>
  <si>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</si>
  <si>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</si>
  <si>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</si>
  <si>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</si>
  <si>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</si>
  <si>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6.) Egyéb finanszírozási kiadás (államháztartáson belüli megelőlegezés visszafizetése)</t>
  </si>
  <si>
    <t>2022. évi  eredeti előirányzat</t>
  </si>
  <si>
    <t>2022. évi eredeti előirányzat</t>
  </si>
  <si>
    <t xml:space="preserve"> - Duális Képzőközpont bérleti díj</t>
  </si>
  <si>
    <t xml:space="preserve"> - Alsóeredei Élménypark bérleti díja</t>
  </si>
  <si>
    <t xml:space="preserve"> - 2021. évi maradvány igénybevétele áthúzódó és új feladatokhoz</t>
  </si>
  <si>
    <t xml:space="preserve"> - normatívák fajlagos összegeinek emeléséből származó többlet támogatás</t>
  </si>
  <si>
    <t xml:space="preserve"> - Mindszentyneum működtetéséhez állami hozzájárulás</t>
  </si>
  <si>
    <t xml:space="preserve">  - idegenforgalmi adó</t>
  </si>
  <si>
    <t xml:space="preserve"> - pedagógus napi rendezvény szervezése</t>
  </si>
  <si>
    <t xml:space="preserve"> - Térzenei koncertek EMT-TE-B-A-21-0515</t>
  </si>
  <si>
    <t xml:space="preserve"> - Zalaegerszegi amatőr kórusok és gyeremekkórus találkozó támogatása EMT-TE-B-A-21-0516</t>
  </si>
  <si>
    <t xml:space="preserve"> - István a király-ünnepi megemlékezés EMT-TE-B-A-21-0523</t>
  </si>
  <si>
    <t xml:space="preserve"> -  R&amp;J szinergiái - Egy történet száz alakban EMT-TE-B-A-21-0517</t>
  </si>
  <si>
    <t xml:space="preserve"> - Zala Megyei  Diáksport Szövetség támogatása</t>
  </si>
  <si>
    <t>2021. évről áthúzódó feladat</t>
  </si>
  <si>
    <t>6.a/5</t>
  </si>
  <si>
    <t xml:space="preserve">Petőfi S. Iskola lámpatestek cseréje </t>
  </si>
  <si>
    <t>6.a/6</t>
  </si>
  <si>
    <t>Art moziban nézőtéri székek beszerzése</t>
  </si>
  <si>
    <t>6.a/7</t>
  </si>
  <si>
    <t>Zalaegerszegi Egyesített Bölcsődék önkormányzati étkeztetési fejlesztések pályázati támogatással</t>
  </si>
  <si>
    <t>6.a/8</t>
  </si>
  <si>
    <t>Ola ucai II.sz.felnőtt háziorvosi rendelő kazáncsere</t>
  </si>
  <si>
    <t>6.a/9</t>
  </si>
  <si>
    <t>Idősek Otthona szellőzés rekonstrukció</t>
  </si>
  <si>
    <t>6.a/10</t>
  </si>
  <si>
    <t xml:space="preserve"> Csácsi multifunkcionális sportpálya befejező munkái</t>
  </si>
  <si>
    <t>6.a/11</t>
  </si>
  <si>
    <t>1.a/6</t>
  </si>
  <si>
    <t>3.a/2</t>
  </si>
  <si>
    <t>3.a/3</t>
  </si>
  <si>
    <t>3.a/4</t>
  </si>
  <si>
    <t>Kiseredei úti temető locsoló- és tüzivízvezeték felújítása</t>
  </si>
  <si>
    <t>4.a/18</t>
  </si>
  <si>
    <t>4.a/19</t>
  </si>
  <si>
    <t>4.a/20</t>
  </si>
  <si>
    <t>4.a/21</t>
  </si>
  <si>
    <t>4.a/22</t>
  </si>
  <si>
    <t>4.a/23</t>
  </si>
  <si>
    <t>Parkolóépítés parkolómegváltás bevételéből</t>
  </si>
  <si>
    <t>4.a/24</t>
  </si>
  <si>
    <t>4.a/25</t>
  </si>
  <si>
    <t>Göcseji út 49. sz. mögötti járda felújítási munkái</t>
  </si>
  <si>
    <t>4.a/26</t>
  </si>
  <si>
    <t>Berzsenyi D.u. 13.előtti járdaburkolat felújítási munkái</t>
  </si>
  <si>
    <t>4.a/27</t>
  </si>
  <si>
    <t>Platán sor 16. és Gasparich M.u. 13. előtti járdaszakasz felújítási munkái</t>
  </si>
  <si>
    <t>4.a/28</t>
  </si>
  <si>
    <t>745/95 hrsz-ú kivett közterület járda felújítás pályázati támogatással</t>
  </si>
  <si>
    <t>4.a/29</t>
  </si>
  <si>
    <t>Dombalja utca aszfaltozás I.ütem</t>
  </si>
  <si>
    <t>4.a/30</t>
  </si>
  <si>
    <t>Rákóczi F.utca félpályás felújítás</t>
  </si>
  <si>
    <t>4.a/31</t>
  </si>
  <si>
    <t>Bazita úton autóbusz leszállósziget építése</t>
  </si>
  <si>
    <t>4.a/32</t>
  </si>
  <si>
    <t>Platán sor 12. bevezető járda</t>
  </si>
  <si>
    <t>Arányos városfejlesztés feladatai</t>
  </si>
  <si>
    <t>2.a/3</t>
  </si>
  <si>
    <t>9.a/9</t>
  </si>
  <si>
    <t>9.a/10</t>
  </si>
  <si>
    <t>Színház  elektromos többlet teljesítmény</t>
  </si>
  <si>
    <t>9.a/11</t>
  </si>
  <si>
    <t>Hatháza közösségi tér fejlesztése</t>
  </si>
  <si>
    <t>9.a/12</t>
  </si>
  <si>
    <t>Honvédelmi Sportközpont járulékos előkészítő feladatai</t>
  </si>
  <si>
    <t>10./4./1</t>
  </si>
  <si>
    <t>Északi Ipari park infrastuktúra fejlesztésével összefüggő közműfejlesztések és közműcsatlakozások</t>
  </si>
  <si>
    <t>10./4./2</t>
  </si>
  <si>
    <t>ZalaZone Tudományos és Innovációs Park</t>
  </si>
  <si>
    <t>Zalaréti Kastély rendezvényközpont felújításának előkészítési munkálatai</t>
  </si>
  <si>
    <t xml:space="preserve"> - elektromos gépkocsik üzemeltetése</t>
  </si>
  <si>
    <t xml:space="preserve"> - 2021. évi állami hozzájárulás elszámolása </t>
  </si>
  <si>
    <t xml:space="preserve"> - 2022. évi állami hozzájárulás 0. havi előleg visszafizetése </t>
  </si>
  <si>
    <t xml:space="preserve"> - Zalaegerszegi Sport és Tanuszoda műk.  támogatása</t>
  </si>
  <si>
    <t>Felhalmozási célú pénzeszköz átadás a Z.M. Katasztrófavéd. Igazgatóság részére</t>
  </si>
  <si>
    <t>Építéshatósági feladatok</t>
  </si>
  <si>
    <t xml:space="preserve"> - Építéshatósági feladatok összesen: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</si>
  <si>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</si>
  <si>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</si>
  <si>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</si>
  <si>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</si>
  <si>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</si>
  <si>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 xml:space="preserve"> - Széchenyi tér burkolatcsere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</si>
  <si>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</si>
  <si>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</si>
  <si>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Kontakt Kft. Köztéri padok és egyéb bútorok mosása, fertőtlenítése</t>
  </si>
  <si>
    <t xml:space="preserve"> - önkormányzati tulajdonban lévő közvilágítási hálózat passzív elemeinek karbantartása</t>
  </si>
  <si>
    <t>Baráth Ferenc és Honvéd utca járdafelújítási munkák</t>
  </si>
  <si>
    <t>Tankerülettel közösen megvalósítandó felújítások  (Eötvös isk. menekülő kapu)</t>
  </si>
  <si>
    <t xml:space="preserve"> - "Steet Food"Fesztivál</t>
  </si>
  <si>
    <t xml:space="preserve"> - Restart sport fesztivál</t>
  </si>
  <si>
    <t>Szekeresvölgyi út felújítása (Zártkerti Porgram)</t>
  </si>
  <si>
    <t xml:space="preserve"> -  Kárpát medencei testvér-települési találkozó</t>
  </si>
  <si>
    <t xml:space="preserve">-  éves sajtófotó kiállítás </t>
  </si>
  <si>
    <t>5.a/3</t>
  </si>
  <si>
    <t xml:space="preserve"> -felhalmozási célú pénzeszköz átvétel a MOL Nyrt-től </t>
  </si>
  <si>
    <t>5 db tisztán elektromos gépjármű beszerzése pályázati pénzeszközből</t>
  </si>
  <si>
    <t xml:space="preserve"> - 5 db tisztán elektromos gépjármű beszerzéséhez  pályázati támogatás</t>
  </si>
  <si>
    <t xml:space="preserve"> - Északi Ipari park infrastuktúra fejlesztésével összefüggő közműfejlesztések és közműcsatlakozások</t>
  </si>
  <si>
    <t xml:space="preserve"> - Modern Városok Program keretében tervezett közúthálózat és kapcsolódó tereinek fejlesztései</t>
  </si>
  <si>
    <t xml:space="preserve">  - Zalaréti Kastély rendezvényközpont felújításának előkészítési munkálatai</t>
  </si>
  <si>
    <t xml:space="preserve">  - Zalaegerszegi Sport- és Tanuszoda bérleti díj</t>
  </si>
  <si>
    <t xml:space="preserve"> - VÁRA-ÉMI 2020-001 Szennyvíz Gépészet Projekt</t>
  </si>
  <si>
    <t>Nyugdíjas otthonházi lakások felújítása (részben Lakásalap)</t>
  </si>
  <si>
    <t>10./1.a./1</t>
  </si>
  <si>
    <t>10./1.a./2</t>
  </si>
  <si>
    <t>10./1.a./11</t>
  </si>
  <si>
    <t>10./1.a./13</t>
  </si>
  <si>
    <t xml:space="preserve"> Új városi honlap</t>
  </si>
  <si>
    <t xml:space="preserve"> Falumúzeumban orgona felújítás VKT-FELÚJÍTÁS-21-0101</t>
  </si>
  <si>
    <t>E-közmű adatszolgáltatás</t>
  </si>
  <si>
    <t>Fedlapcserék</t>
  </si>
  <si>
    <t>Közvilágítás fejlesztése Fehérhegyen</t>
  </si>
  <si>
    <t>Landorhegyi u. 26. sz. mögötti parkoló közvilágítás bővítése</t>
  </si>
  <si>
    <t>Cinke park közvilágítás fejlesztés</t>
  </si>
  <si>
    <t>Kertvárosi kutyafuttató közvilágítás bővítés</t>
  </si>
  <si>
    <t>762. sz. út térköves felállósávok felújítása</t>
  </si>
  <si>
    <t>Zártkerti utak felújítása</t>
  </si>
  <si>
    <t>Zúzalékos utak felújítása</t>
  </si>
  <si>
    <t>Kertvárosi járda- és út rekonstrukció</t>
  </si>
  <si>
    <t>Botfy utcai járda aszfaltozása</t>
  </si>
  <si>
    <t>Ságodi játszóterek felújítása</t>
  </si>
  <si>
    <t>Bazita játszótér fejlesztés</t>
  </si>
  <si>
    <t>Ebergény játszótér fejlesztés</t>
  </si>
  <si>
    <t>Játszóterek fejlesztése</t>
  </si>
  <si>
    <t>Hatháza közösségi tér felújítása</t>
  </si>
  <si>
    <t>Szegfű u.-Báthory u. ívkorrekció</t>
  </si>
  <si>
    <t xml:space="preserve">Játszóterek felújítása a Kertvárosban </t>
  </si>
  <si>
    <t xml:space="preserve">Nekeresdi játszótér fejlesztése </t>
  </si>
  <si>
    <t>Aquacity ívkorrekció</t>
  </si>
  <si>
    <t>Andráshidai járdák felújítása</t>
  </si>
  <si>
    <t>Virág utca aszfaltozás</t>
  </si>
  <si>
    <t>Ságodi járda felújítás</t>
  </si>
  <si>
    <t>Kert utca északi oldal járdafelújítás</t>
  </si>
  <si>
    <t>Berzsenyi u. 11. kavicsos parkoló felújítás</t>
  </si>
  <si>
    <t>Rákóczi út közműfejlesztés utáni járdafelújítás</t>
  </si>
  <si>
    <t>Járdafelújítások Botfán</t>
  </si>
  <si>
    <t>Jókai u. járdafelújítás</t>
  </si>
  <si>
    <t>Platán sor 10. beközlekedő járda felújítása</t>
  </si>
  <si>
    <t>Becsali utcai buszmegálló cseréje</t>
  </si>
  <si>
    <t>Landorhegyi járdafelújítások</t>
  </si>
  <si>
    <t>Hajnalcsillag utca útburkolat megerősítése</t>
  </si>
  <si>
    <t>Erdész utca parkolóbővítés</t>
  </si>
  <si>
    <t>Építők útja felújítás I. ütem</t>
  </si>
  <si>
    <t>Rigó utca útburkolat felújítás</t>
  </si>
  <si>
    <t>Buszvárók telepítése és felújítása</t>
  </si>
  <si>
    <t>Ságodi óvoda csőtörés helyreállítása</t>
  </si>
  <si>
    <t>Liszt F. Iskola gáznyomásszabályzó felújítás</t>
  </si>
  <si>
    <t>Liszt F.Iskola tornaterem felújítás TAO pályázathoz kapcsolódó tervezési munkák</t>
  </si>
  <si>
    <t xml:space="preserve">Középiskolák </t>
  </si>
  <si>
    <t>1./3./1</t>
  </si>
  <si>
    <t>Apáczai ÁMK szennyvízvezeték rekonstrukció</t>
  </si>
  <si>
    <t>Gasparich u. 26. háziorvosi rendelő akadálymentes vizesblokk kialakítása</t>
  </si>
  <si>
    <t>Termál medence felújítása (felnőtt medence)</t>
  </si>
  <si>
    <t>Aquacity klórtároló felújítás, átalakítás</t>
  </si>
  <si>
    <t>Aquacity hullámmedence hátfal mergerősítése</t>
  </si>
  <si>
    <t>Art mozi átalakítása a színház átmeneti időszakára szolgáló játszóhellyé alakításához</t>
  </si>
  <si>
    <t>Szenterzsébethegyi közösségi tér bővítése vizesblokkal</t>
  </si>
  <si>
    <t>Andráshidai közösségi ház</t>
  </si>
  <si>
    <t>Vorhotai közösségi ház</t>
  </si>
  <si>
    <t>9./6</t>
  </si>
  <si>
    <t>9./7</t>
  </si>
  <si>
    <t>Idősek Otthona épületének fejlesztése</t>
  </si>
  <si>
    <t>Minibölcsőde építése (pályázati önrész)</t>
  </si>
  <si>
    <t>Keresztury VMK gépjármű beszerzés</t>
  </si>
  <si>
    <t>Kölcsey Gimnázium menekülő kapu</t>
  </si>
  <si>
    <t>Ságodi orvosi rendelő felújítása</t>
  </si>
  <si>
    <t>VMK táncterem padlóburkolat rekonstrukciója</t>
  </si>
  <si>
    <t>Andráshidai sporttelep fűtési rendszer felújítása</t>
  </si>
  <si>
    <t>HEMO ingatlan vásárlás</t>
  </si>
  <si>
    <t>Előtervezések út- és közműépítési feladatokhoz (KKVP és ARF)</t>
  </si>
  <si>
    <t>Műszaki ellenőrzések KKVP-hoz kapcsolódóan</t>
  </si>
  <si>
    <t>KEHOP projektek nem támogatott munkarészek</t>
  </si>
  <si>
    <t>Kelemen I.-Arany J. u.csapadékvízelvezető rsz. tervezés</t>
  </si>
  <si>
    <t>Öveges u. csapadék rendezés tervezés</t>
  </si>
  <si>
    <t>1./5</t>
  </si>
  <si>
    <t>Napnyugta utca rekonstrukció</t>
  </si>
  <si>
    <t>Széperdő utca rekonstrukció</t>
  </si>
  <si>
    <t>Ipari park átkötő járda</t>
  </si>
  <si>
    <t>Hegyalja u. tervezés</t>
  </si>
  <si>
    <t>Vorhota u. útszélesítés tervezés</t>
  </si>
  <si>
    <t>9./8</t>
  </si>
  <si>
    <t xml:space="preserve"> - Andráshidai közösségi programok</t>
  </si>
  <si>
    <t xml:space="preserve">  - Pózváért Alapítvány támogatása</t>
  </si>
  <si>
    <t>Lejtős utca önerős útfejlesztés</t>
  </si>
  <si>
    <t>Szenior fitneszpark létesítése a Pais D. utcában</t>
  </si>
  <si>
    <t xml:space="preserve"> - Kertvárosi rendezvények támogatása</t>
  </si>
  <si>
    <t xml:space="preserve">2.3.2.2. Megyei hatáskörű városi könyvtárak feladatainak támogatása  (Deák Ferenc Megyei és Városi  Könyvtár) </t>
  </si>
  <si>
    <t>2.3.2.1. Megyei hatókörű városi múzeumok feladatainak támogatása (Göcseji Múzeum)</t>
  </si>
  <si>
    <t>1./3./2</t>
  </si>
  <si>
    <t>3./5</t>
  </si>
  <si>
    <t>4.a/33</t>
  </si>
  <si>
    <t>4.a/34</t>
  </si>
  <si>
    <t>4.a/35</t>
  </si>
  <si>
    <t>VÁRA-ÉMI 2020-001 Szennyvíz Gépészet Projekt</t>
  </si>
  <si>
    <t>9./9</t>
  </si>
  <si>
    <t>TOP projektek</t>
  </si>
  <si>
    <t xml:space="preserve"> - ZALA-Müllex Kft.által 2022. évre fizetett haszn. díj </t>
  </si>
  <si>
    <t>4./23</t>
  </si>
  <si>
    <t>4./24</t>
  </si>
  <si>
    <t>4./25</t>
  </si>
  <si>
    <t>4./26</t>
  </si>
  <si>
    <t>Csácsi hegyi kápolna melletti (É-i oldal)útfelújítás</t>
  </si>
  <si>
    <t>Bozsok-völgyi u.bevezető szakaszának aszfaltozása</t>
  </si>
  <si>
    <t>Bozsok Szabadság utca járdafelújítás III.ütem</t>
  </si>
  <si>
    <t>Domb utca iskola melletti szakasz járdaépítés</t>
  </si>
  <si>
    <t>Domb utca útburkolatának felújítása I.ütem</t>
  </si>
  <si>
    <t>Szabadság utca mellékág tervezése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</si>
  <si>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</si>
  <si>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</si>
  <si>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</si>
  <si>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>Közterületi kamerarendszer bővítése (Platán sor)</t>
  </si>
  <si>
    <t xml:space="preserve"> -Reptér Drónmotive projekthez kapcsolódó bevétel</t>
  </si>
  <si>
    <t xml:space="preserve"> - várható állami kompenzáció </t>
  </si>
  <si>
    <t>Napsugár utcai valamint Űrhajós óvoda, bölcsőde intézményi fejlesztések</t>
  </si>
  <si>
    <t xml:space="preserve"> -Aranyév- ZTE 2002. könyv</t>
  </si>
  <si>
    <t>3./6</t>
  </si>
  <si>
    <t>Idősotthon rámpa kialakítás tervezés</t>
  </si>
  <si>
    <t>Közösségi tér fejlesztése a zalabesenyői Öreghegyen</t>
  </si>
  <si>
    <t>Játszóterek elkorhadt, balesetveszélyes kerítéseinek cseréje</t>
  </si>
  <si>
    <t>4./27</t>
  </si>
  <si>
    <t xml:space="preserve"> - ünnepi díszkivilágítás szerelés, elromlott sorok javítása, karbantartása</t>
  </si>
  <si>
    <t xml:space="preserve">  -  Regőczi István alapítvány támogatása</t>
  </si>
  <si>
    <t>1./1./6</t>
  </si>
  <si>
    <t>Bazitai óvoda felújítás tervezés</t>
  </si>
  <si>
    <t>Járdafelújítás az Árpád utcában</t>
  </si>
  <si>
    <t>4./28</t>
  </si>
  <si>
    <t>Bartók Béla u. járda felújítása</t>
  </si>
  <si>
    <t>Forgalomlassító küszöb az Alsójánkahegyi utcában</t>
  </si>
  <si>
    <t>Orsolya téri csapadékvíz elvezetés terveztetése</t>
  </si>
  <si>
    <t>5./8</t>
  </si>
  <si>
    <t>5./9</t>
  </si>
  <si>
    <t xml:space="preserve">Olajmunkás u. 10. és Hegyalja u.3/C.padok beszerzése </t>
  </si>
  <si>
    <t>Május 1. liget játszótér felújítása</t>
  </si>
  <si>
    <t>5./10</t>
  </si>
  <si>
    <t>Jánkahegyi harangláb felújítása, valamint padok és asztal elhelyezése</t>
  </si>
  <si>
    <t>10/1./1</t>
  </si>
  <si>
    <t>TOP Plussz-1.3-1-21 Fenntartható városfejlesztési stratégiák támogatása</t>
  </si>
  <si>
    <t xml:space="preserve"> - ZTE FC Zrt.  és  Zeg-i Élménypark Kft.támogatása </t>
  </si>
  <si>
    <t>Kölcsey Gimnázium gáznyomásszabályzó csere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</si>
  <si>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</si>
  <si>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</si>
  <si>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</si>
  <si>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</si>
  <si>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</si>
  <si>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</si>
  <si>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Református templom felújításának támogatása</t>
  </si>
  <si>
    <t>Módosítás hatáskör szerint</t>
  </si>
  <si>
    <t>Módosítás összege</t>
  </si>
  <si>
    <t>2022. évi módosított előirányzat</t>
  </si>
  <si>
    <t>Módosítás     összege</t>
  </si>
  <si>
    <t>Módosítás         összege</t>
  </si>
  <si>
    <t>2022. évi  módosított előirányzat</t>
  </si>
  <si>
    <t>2022. bevétel eredeti előirányzata</t>
  </si>
  <si>
    <t xml:space="preserve">2022. bevétel módosított előirányzata </t>
  </si>
  <si>
    <t>1.1.1 Települési önkormányzatok működésének támogatása jogcímeihez biztosított kiegészítő támogatás a 8/2022. (I.14.) Korm.rendelet alapján</t>
  </si>
  <si>
    <t>1.2.1.1. Óvodaműködtetési  kiegészítő támogatás a 8/2022. (I.14.) Korm.rendelet alapján</t>
  </si>
  <si>
    <t>1.2.2.1. Az óvodában foglalkoztatott pedagógusok átlagbéralapú kiegészítő támogatása a 8/2022. (I.14. Korm.rendelet alapján</t>
  </si>
  <si>
    <t xml:space="preserve">     1.2.3.1.1.1.1. Pedagógus II. kategóriába sorolt pedagógusok kiegészítő támogatása a 8/2022. (I.14.)Korm.rendelet alapján</t>
  </si>
  <si>
    <t xml:space="preserve">     1.2.3.1.1.1.2. Mesterpedagógus, kutatótanár kategóriába sorolt pedagógusok kiegészítő támogatása a 8/2022. (I.14.) Korm.rendelet alapján</t>
  </si>
  <si>
    <t xml:space="preserve">                1.3.2.4.3. Személyi gondozás - társulás által történő feladatellátás kiegészítő támogatása a 8/2022. (I.14.) Korm.rendelet alapján</t>
  </si>
  <si>
    <t>1.3.2.1. Család és gyermekjóléti szolgálat kiegészítő támogatása a 8/2022. (I.14.) Korm.rendelet alapján</t>
  </si>
  <si>
    <t>1.3.2.2. Család- és gyermekjóléti központ ( járáshoz tartozó összes településre) kiegészítő támogatása a 8/2022. (I.14.) Korm.rendelet alapján</t>
  </si>
  <si>
    <t>1.3.2.3.2. Szociális étkeztetés - társulás által történő feladatellátás kiegészítő támogatása a 8/2022. (I.14.) Korm.rendelet alapján</t>
  </si>
  <si>
    <t>1.3.2.6. Időskorúak nappali intézményi  ellátása társulás által történő feladatellátás kiegészítő táogatása a 8/2022. (I.14.) Korm.rendelet alapján</t>
  </si>
  <si>
    <t>1.3.2.8.2. Demens személyek nappali intézményi ellátása - társulás által történő feladatellátás kiegészítő támogatása a 8/2022. (I.14.) Korm.rendelet alapján</t>
  </si>
  <si>
    <t>1.3.2.9.2.  Pszichiátriai betegek nappali intézményi ellátása - társulás által történő feladatellátás kiegészítő támogatása a 8/2022. (I.14.) Korm.rendelet alapján</t>
  </si>
  <si>
    <t>1.3.2.10.2.  Szenvedélybetegek nappali intézményi ellátása - társulás által történő feladatellátás kiegészítő támogatása a 8/2022. (I.14.) Korm.rendelet alapján</t>
  </si>
  <si>
    <t xml:space="preserve">        1.3.3.1.1. Felsőfokú végzettségű kisgyermeknevelők, szaktanácsadók kiegészítő bértámogatása a 8/2022. (I.14.) Korm.rendelet alapján</t>
  </si>
  <si>
    <t xml:space="preserve">        1.3.3.1.2. Bölcsődei dajkák,középfokú végzettségű kisgyermeknevelők, szaktanácsadók kiegészítő bértámogatása a 8/2022. (I.14.) Korm.rendelet alapján</t>
  </si>
  <si>
    <t xml:space="preserve">1.3.4.1 Bértámogatása </t>
  </si>
  <si>
    <t>1.3.4.1 Bértámogatás kiegészítő támogatása a 8/2022. (I.14.) Korm.rendelet alapján</t>
  </si>
  <si>
    <t>1.4.1.1. Intézményi gyermekétkeztetés kiegészítő bértámogatás a 8/2022. (I.14.) Korm.rendelet alapján</t>
  </si>
  <si>
    <t>1.3.3. Bölcsőde, mini bölcsőde támogatása</t>
  </si>
  <si>
    <t>2. 2.22 Szociális ágazati összevont pótlék és egészségügyi kiegészítő pótlék</t>
  </si>
  <si>
    <t>1.3.4. A települési önk. által biztosított egyes szociális szakosított ellátások, valamint a gyermekek átmeneti gondozásával kapcsolatos feladatok támogatása</t>
  </si>
  <si>
    <t>1.2.5.1.1. Az óvodában foglalkoztatott pedagógusok nevelőmunkáját közvetlenük segítők átlagbéralapú kiegészítő támogatása a 8/2022. (I.14.) Korm.rendelet alapján</t>
  </si>
  <si>
    <t xml:space="preserve"> - Göcseji u. 49.sz.társasház déli oldali járda </t>
  </si>
  <si>
    <t>155460</t>
  </si>
  <si>
    <t xml:space="preserve"> - Nyugdíjas Otthonházi  adományok</t>
  </si>
  <si>
    <t xml:space="preserve"> - MÜLLEX Nonprofit Kft. vagyonfelosztás</t>
  </si>
  <si>
    <t>kgy</t>
  </si>
  <si>
    <t>pm</t>
  </si>
  <si>
    <t>1./1./7</t>
  </si>
  <si>
    <t>Űrhajós tagóvoda vizesblokk felújítása</t>
  </si>
  <si>
    <t>2./5.</t>
  </si>
  <si>
    <t>Czobor Mátyás mellszobor felállítása</t>
  </si>
  <si>
    <t>045160 Közutak, hidak, alagutak üzemeltetése, fenntartása</t>
  </si>
  <si>
    <t>4./29</t>
  </si>
  <si>
    <t>Petúnia utca aszfaltozási munkái</t>
  </si>
  <si>
    <t>kgy, biz.</t>
  </si>
  <si>
    <t>kgy,pm</t>
  </si>
  <si>
    <t>Közösségi ház fejlesztése Zalabesenyőben pénzeszköz átadás a Besenyő a 2000-es években Alapítvány részére</t>
  </si>
  <si>
    <t>biz.</t>
  </si>
  <si>
    <t xml:space="preserve"> 109070  Nemzetközi humanitárius segítségnyújtás</t>
  </si>
  <si>
    <t xml:space="preserve"> - humanitárius segítségnyújtás</t>
  </si>
  <si>
    <t>Jézus Szíve Ferences Plébánia részére felhalmozási célú pénzeszköz átadása</t>
  </si>
  <si>
    <t>B55</t>
  </si>
  <si>
    <t>Részesedések megszűnéséhez kapcsolódó bevételek</t>
  </si>
  <si>
    <t xml:space="preserve">  -  Regőczi István Alapítvány támogatása</t>
  </si>
  <si>
    <t>163654,163659,163660,163661</t>
  </si>
  <si>
    <t xml:space="preserve"> - "Zöld busz mintaprojekt"</t>
  </si>
  <si>
    <t xml:space="preserve"> - Czobor Mátyás mellszobor felállításához támogatás</t>
  </si>
  <si>
    <t xml:space="preserve"> - egyéb létesítményi működési bevételek</t>
  </si>
  <si>
    <t>om</t>
  </si>
  <si>
    <t>4./30.</t>
  </si>
  <si>
    <t>Bazita u. 5. autóbuszváró létesítése</t>
  </si>
  <si>
    <t>4./2.</t>
  </si>
  <si>
    <t>Műfüves sportpályák felújítása</t>
  </si>
  <si>
    <t xml:space="preserve"> - volt nyomda épület hasznosítása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</si>
</sst>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_-;\-* #,##0_-;_-* &quot;-&quot;??_-;_-@_-"/>
    <numFmt numFmtId="168" formatCode="_-* #,##0.00\ _F_t_-;\-* #,##0.00\ _F_t_-;_-* \-??\ _F_t_-;_-@_-"/>
  </numFmts>
  <fonts count="94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b/>
      <sz val="9"/>
      <name val="Times New Roman CE"/>
      <charset val="238"/>
    </font>
    <font>
      <sz val="8"/>
      <name val="Times New Roman"/>
      <family val="1"/>
      <charset val="238"/>
    </font>
  </fonts>
  <fills count="5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27"/>
      </patternFill>
    </fill>
  </fills>
  <borders count="10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22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22"/>
      </bottom>
      <diagonal/>
    </border>
    <border>
      <left/>
      <right/>
      <top/>
      <bottom style="thin">
        <color indexed="64"/>
      </bottom>
      <diagonal/>
    </border>
  </borders>
  <cellStyleXfs count="180">
    <xf numFmtId="0" fontId="0" fillId="0" borderId="0"/>
    <xf numFmtId="0" fontId="61" fillId="2" borderId="0" applyNumberFormat="0" applyBorder="0" applyAlignment="0" applyProtection="0"/>
    <xf numFmtId="0" fontId="61" fillId="3" borderId="0" applyNumberFormat="0" applyBorder="0" applyAlignment="0" applyProtection="0"/>
    <xf numFmtId="0" fontId="22" fillId="4" borderId="0" applyNumberFormat="0" applyBorder="0" applyAlignment="0" applyProtection="0"/>
    <xf numFmtId="0" fontId="60" fillId="5" borderId="0" applyNumberFormat="0" applyBorder="0" applyAlignment="0" applyProtection="0"/>
    <xf numFmtId="0" fontId="22" fillId="6" borderId="0" applyNumberFormat="0" applyBorder="0" applyAlignment="0" applyProtection="0"/>
    <xf numFmtId="0" fontId="60" fillId="7" borderId="0" applyNumberFormat="0" applyBorder="0" applyAlignment="0" applyProtection="0"/>
    <xf numFmtId="0" fontId="22" fillId="8" borderId="0" applyNumberFormat="0" applyBorder="0" applyAlignment="0" applyProtection="0"/>
    <xf numFmtId="0" fontId="60" fillId="9" borderId="0" applyNumberFormat="0" applyBorder="0" applyAlignment="0" applyProtection="0"/>
    <xf numFmtId="0" fontId="22" fillId="10" borderId="0" applyNumberFormat="0" applyBorder="0" applyAlignment="0" applyProtection="0"/>
    <xf numFmtId="0" fontId="60" fillId="11" borderId="0" applyNumberFormat="0" applyBorder="0" applyAlignment="0" applyProtection="0"/>
    <xf numFmtId="0" fontId="22" fillId="12" borderId="0" applyNumberFormat="0" applyBorder="0" applyAlignment="0" applyProtection="0"/>
    <xf numFmtId="0" fontId="60" fillId="13" borderId="0" applyNumberFormat="0" applyBorder="0" applyAlignment="0" applyProtection="0"/>
    <xf numFmtId="0" fontId="22" fillId="14" borderId="0" applyNumberFormat="0" applyBorder="0" applyAlignment="0" applyProtection="0"/>
    <xf numFmtId="0" fontId="60" fillId="15" borderId="0" applyNumberFormat="0" applyBorder="0" applyAlignment="0" applyProtection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8" borderId="0" applyNumberFormat="0" applyBorder="0" applyAlignment="0" applyProtection="0"/>
    <xf numFmtId="0" fontId="41" fillId="10" borderId="0" applyNumberFormat="0" applyBorder="0" applyAlignment="0" applyProtection="0"/>
    <xf numFmtId="0" fontId="41" fillId="12" borderId="0" applyNumberFormat="0" applyBorder="0" applyAlignment="0" applyProtection="0"/>
    <xf numFmtId="0" fontId="41" fillId="14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22" fillId="18" borderId="0" applyNumberFormat="0" applyBorder="0" applyAlignment="0" applyProtection="0"/>
    <xf numFmtId="0" fontId="60" fillId="19" borderId="0" applyNumberFormat="0" applyBorder="0" applyAlignment="0" applyProtection="0"/>
    <xf numFmtId="0" fontId="22" fillId="20" borderId="0" applyNumberFormat="0" applyBorder="0" applyAlignment="0" applyProtection="0"/>
    <xf numFmtId="0" fontId="60" fillId="21" borderId="0" applyNumberFormat="0" applyBorder="0" applyAlignment="0" applyProtection="0"/>
    <xf numFmtId="0" fontId="22" fillId="22" borderId="0" applyNumberFormat="0" applyBorder="0" applyAlignment="0" applyProtection="0"/>
    <xf numFmtId="0" fontId="60" fillId="23" borderId="0" applyNumberFormat="0" applyBorder="0" applyAlignment="0" applyProtection="0"/>
    <xf numFmtId="0" fontId="22" fillId="10" borderId="0" applyNumberFormat="0" applyBorder="0" applyAlignment="0" applyProtection="0"/>
    <xf numFmtId="0" fontId="60" fillId="11" borderId="0" applyNumberFormat="0" applyBorder="0" applyAlignment="0" applyProtection="0"/>
    <xf numFmtId="0" fontId="22" fillId="18" borderId="0" applyNumberFormat="0" applyBorder="0" applyAlignment="0" applyProtection="0"/>
    <xf numFmtId="0" fontId="60" fillId="19" borderId="0" applyNumberFormat="0" applyBorder="0" applyAlignment="0" applyProtection="0"/>
    <xf numFmtId="0" fontId="22" fillId="17" borderId="0" applyNumberFormat="0" applyBorder="0" applyAlignment="0" applyProtection="0"/>
    <xf numFmtId="0" fontId="60" fillId="24" borderId="0" applyNumberFormat="0" applyBorder="0" applyAlignment="0" applyProtection="0"/>
    <xf numFmtId="0" fontId="41" fillId="18" borderId="0" applyNumberFormat="0" applyBorder="0" applyAlignment="0" applyProtection="0"/>
    <xf numFmtId="0" fontId="41" fillId="20" borderId="0" applyNumberFormat="0" applyBorder="0" applyAlignment="0" applyProtection="0"/>
    <xf numFmtId="0" fontId="41" fillId="22" borderId="0" applyNumberFormat="0" applyBorder="0" applyAlignment="0" applyProtection="0"/>
    <xf numFmtId="0" fontId="41" fillId="10" borderId="0" applyNumberFormat="0" applyBorder="0" applyAlignment="0" applyProtection="0"/>
    <xf numFmtId="0" fontId="41" fillId="18" borderId="0" applyNumberFormat="0" applyBorder="0" applyAlignment="0" applyProtection="0"/>
    <xf numFmtId="0" fontId="41" fillId="17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23" fillId="27" borderId="0" applyNumberFormat="0" applyBorder="0" applyAlignment="0" applyProtection="0"/>
    <xf numFmtId="0" fontId="61" fillId="28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29" borderId="0" applyNumberFormat="0" applyBorder="0" applyAlignment="0" applyProtection="0"/>
    <xf numFmtId="0" fontId="61" fillId="30" borderId="0" applyNumberFormat="0" applyBorder="0" applyAlignment="0" applyProtection="0"/>
    <xf numFmtId="0" fontId="23" fillId="2" borderId="0" applyNumberFormat="0" applyBorder="0" applyAlignment="0" applyProtection="0"/>
    <xf numFmtId="0" fontId="61" fillId="31" borderId="0" applyNumberFormat="0" applyBorder="0" applyAlignment="0" applyProtection="0"/>
    <xf numFmtId="0" fontId="23" fillId="32" borderId="0" applyNumberFormat="0" applyBorder="0" applyAlignment="0" applyProtection="0"/>
    <xf numFmtId="0" fontId="61" fillId="33" borderId="0" applyNumberFormat="0" applyBorder="0" applyAlignment="0" applyProtection="0"/>
    <xf numFmtId="0" fontId="42" fillId="27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2" borderId="0" applyNumberFormat="0" applyBorder="0" applyAlignment="0" applyProtection="0"/>
    <xf numFmtId="0" fontId="42" fillId="25" borderId="0" applyNumberFormat="0" applyBorder="0" applyAlignment="0" applyProtection="0"/>
    <xf numFmtId="0" fontId="42" fillId="34" borderId="0" applyNumberFormat="0" applyBorder="0" applyAlignment="0" applyProtection="0"/>
    <xf numFmtId="0" fontId="42" fillId="26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" borderId="0" applyNumberFormat="0" applyBorder="0" applyAlignment="0" applyProtection="0"/>
    <xf numFmtId="0" fontId="43" fillId="6" borderId="0" applyNumberFormat="0" applyBorder="0" applyAlignment="0" applyProtection="0"/>
    <xf numFmtId="0" fontId="24" fillId="14" borderId="1" applyNumberFormat="0" applyAlignment="0" applyProtection="0"/>
    <xf numFmtId="0" fontId="62" fillId="15" borderId="1" applyNumberFormat="0" applyAlignment="0" applyProtection="0"/>
    <xf numFmtId="0" fontId="44" fillId="35" borderId="1" applyNumberFormat="0" applyAlignment="0" applyProtection="0"/>
    <xf numFmtId="0" fontId="45" fillId="16" borderId="2" applyNumberFormat="0" applyAlignment="0" applyProtection="0"/>
    <xf numFmtId="0" fontId="25" fillId="0" borderId="0" applyNumberFormat="0" applyFill="0" applyBorder="0" applyAlignment="0" applyProtection="0"/>
    <xf numFmtId="0" fontId="26" fillId="0" borderId="3" applyNumberFormat="0" applyFill="0" applyAlignment="0" applyProtection="0"/>
    <xf numFmtId="0" fontId="63" fillId="0" borderId="4" applyNumberFormat="0" applyFill="0" applyAlignment="0" applyProtection="0"/>
    <xf numFmtId="0" fontId="27" fillId="0" borderId="5" applyNumberFormat="0" applyFill="0" applyAlignment="0" applyProtection="0"/>
    <xf numFmtId="0" fontId="64" fillId="0" borderId="6" applyNumberFormat="0" applyFill="0" applyAlignment="0" applyProtection="0"/>
    <xf numFmtId="0" fontId="28" fillId="0" borderId="7" applyNumberFormat="0" applyFill="0" applyAlignment="0" applyProtection="0"/>
    <xf numFmtId="0" fontId="65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9" fillId="16" borderId="2" applyNumberFormat="0" applyAlignment="0" applyProtection="0"/>
    <xf numFmtId="0" fontId="66" fillId="36" borderId="2" applyNumberFormat="0" applyAlignment="0" applyProtection="0"/>
    <xf numFmtId="0" fontId="46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47" fillId="8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5" applyNumberFormat="0" applyFill="0" applyAlignment="0" applyProtection="0"/>
    <xf numFmtId="0" fontId="50" fillId="0" borderId="7" applyNumberFormat="0" applyFill="0" applyAlignment="0" applyProtection="0"/>
    <xf numFmtId="0" fontId="5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68" fillId="0" borderId="9" applyNumberFormat="0" applyFill="0" applyAlignment="0" applyProtection="0"/>
    <xf numFmtId="0" fontId="51" fillId="14" borderId="1" applyNumberFormat="0" applyAlignment="0" applyProtection="0"/>
    <xf numFmtId="0" fontId="32" fillId="37" borderId="10" applyNumberFormat="0" applyFont="0" applyAlignment="0" applyProtection="0"/>
    <xf numFmtId="0" fontId="59" fillId="38" borderId="10" applyNumberFormat="0" applyAlignment="0" applyProtection="0"/>
    <xf numFmtId="0" fontId="23" fillId="25" borderId="0" applyNumberFormat="0" applyBorder="0" applyAlignment="0" applyProtection="0"/>
    <xf numFmtId="0" fontId="61" fillId="39" borderId="0" applyNumberFormat="0" applyBorder="0" applyAlignment="0" applyProtection="0"/>
    <xf numFmtId="0" fontId="23" fillId="34" borderId="0" applyNumberFormat="0" applyBorder="0" applyAlignment="0" applyProtection="0"/>
    <xf numFmtId="0" fontId="61" fillId="40" borderId="0" applyNumberFormat="0" applyBorder="0" applyAlignment="0" applyProtection="0"/>
    <xf numFmtId="0" fontId="23" fillId="26" borderId="0" applyNumberFormat="0" applyBorder="0" applyAlignment="0" applyProtection="0"/>
    <xf numFmtId="0" fontId="61" fillId="41" borderId="0" applyNumberFormat="0" applyBorder="0" applyAlignment="0" applyProtection="0"/>
    <xf numFmtId="0" fontId="23" fillId="29" borderId="0" applyNumberFormat="0" applyBorder="0" applyAlignment="0" applyProtection="0"/>
    <xf numFmtId="0" fontId="61" fillId="30" borderId="0" applyNumberFormat="0" applyBorder="0" applyAlignment="0" applyProtection="0"/>
    <xf numFmtId="0" fontId="23" fillId="2" borderId="0" applyNumberFormat="0" applyBorder="0" applyAlignment="0" applyProtection="0"/>
    <xf numFmtId="0" fontId="61" fillId="31" borderId="0" applyNumberFormat="0" applyBorder="0" applyAlignment="0" applyProtection="0"/>
    <xf numFmtId="0" fontId="23" fillId="3" borderId="0" applyNumberFormat="0" applyBorder="0" applyAlignment="0" applyProtection="0"/>
    <xf numFmtId="0" fontId="61" fillId="42" borderId="0" applyNumberFormat="0" applyBorder="0" applyAlignment="0" applyProtection="0"/>
    <xf numFmtId="0" fontId="61" fillId="25" borderId="0" applyNumberFormat="0" applyBorder="0" applyAlignment="0" applyProtection="0"/>
    <xf numFmtId="0" fontId="61" fillId="3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61" fillId="2" borderId="0" applyNumberFormat="0" applyBorder="0" applyAlignment="0" applyProtection="0"/>
    <xf numFmtId="0" fontId="61" fillId="26" borderId="0" applyNumberFormat="0" applyBorder="0" applyAlignment="0" applyProtection="0"/>
    <xf numFmtId="0" fontId="33" fillId="8" borderId="0" applyNumberFormat="0" applyBorder="0" applyAlignment="0" applyProtection="0"/>
    <xf numFmtId="0" fontId="69" fillId="9" borderId="0" applyNumberFormat="0" applyBorder="0" applyAlignment="0" applyProtection="0"/>
    <xf numFmtId="0" fontId="34" fillId="35" borderId="11" applyNumberFormat="0" applyAlignment="0" applyProtection="0"/>
    <xf numFmtId="0" fontId="70" fillId="43" borderId="11" applyNumberFormat="0" applyAlignment="0" applyProtection="0"/>
    <xf numFmtId="0" fontId="52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32" fillId="0" borderId="0"/>
    <xf numFmtId="0" fontId="59" fillId="0" borderId="0"/>
    <xf numFmtId="0" fontId="18" fillId="0" borderId="0"/>
    <xf numFmtId="0" fontId="7" fillId="0" borderId="0"/>
    <xf numFmtId="0" fontId="76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6" fillId="0" borderId="0"/>
    <xf numFmtId="0" fontId="7" fillId="0" borderId="0"/>
    <xf numFmtId="0" fontId="76" fillId="0" borderId="0"/>
    <xf numFmtId="0" fontId="6" fillId="0" borderId="0"/>
    <xf numFmtId="0" fontId="7" fillId="0" borderId="0"/>
    <xf numFmtId="0" fontId="41" fillId="37" borderId="10" applyNumberFormat="0" applyFont="0" applyAlignment="0" applyProtection="0"/>
    <xf numFmtId="0" fontId="54" fillId="35" borderId="11" applyNumberFormat="0" applyAlignment="0" applyProtection="0"/>
    <xf numFmtId="0" fontId="36" fillId="0" borderId="12" applyNumberFormat="0" applyFill="0" applyAlignment="0" applyProtection="0"/>
    <xf numFmtId="0" fontId="72" fillId="0" borderId="12" applyNumberFormat="0" applyFill="0" applyAlignment="0" applyProtection="0"/>
    <xf numFmtId="0" fontId="37" fillId="6" borderId="0" applyNumberFormat="0" applyBorder="0" applyAlignment="0" applyProtection="0"/>
    <xf numFmtId="0" fontId="73" fillId="7" borderId="0" applyNumberFormat="0" applyBorder="0" applyAlignment="0" applyProtection="0"/>
    <xf numFmtId="0" fontId="38" fillId="44" borderId="0" applyNumberFormat="0" applyBorder="0" applyAlignment="0" applyProtection="0"/>
    <xf numFmtId="0" fontId="74" fillId="45" borderId="0" applyNumberFormat="0" applyBorder="0" applyAlignment="0" applyProtection="0"/>
    <xf numFmtId="0" fontId="39" fillId="35" borderId="1" applyNumberFormat="0" applyAlignment="0" applyProtection="0"/>
    <xf numFmtId="0" fontId="75" fillId="43" borderId="1" applyNumberFormat="0" applyAlignment="0" applyProtection="0"/>
    <xf numFmtId="0" fontId="55" fillId="0" borderId="0" applyNumberFormat="0" applyFill="0" applyBorder="0" applyAlignment="0" applyProtection="0"/>
    <xf numFmtId="0" fontId="56" fillId="0" borderId="12" applyNumberFormat="0" applyFill="0" applyAlignment="0" applyProtection="0"/>
    <xf numFmtId="0" fontId="57" fillId="0" borderId="0" applyNumberFormat="0" applyFill="0" applyBorder="0" applyAlignment="0" applyProtection="0"/>
    <xf numFmtId="0" fontId="7" fillId="0" borderId="0"/>
    <xf numFmtId="0" fontId="3" fillId="0" borderId="0"/>
    <xf numFmtId="43" fontId="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84" fillId="0" borderId="0"/>
    <xf numFmtId="0" fontId="40" fillId="0" borderId="0"/>
    <xf numFmtId="0" fontId="18" fillId="0" borderId="0"/>
    <xf numFmtId="0" fontId="10" fillId="0" borderId="0"/>
    <xf numFmtId="0" fontId="7" fillId="0" borderId="0"/>
    <xf numFmtId="0" fontId="59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8" fontId="5" fillId="0" borderId="0" applyBorder="0" applyProtection="0"/>
    <xf numFmtId="0" fontId="7" fillId="0" borderId="0"/>
  </cellStyleXfs>
  <cellXfs count="908">
    <xf numFmtId="0" fontId="0" fillId="0" borderId="0" xfId="0"/>
    <xf numFmtId="3" fontId="8" fillId="0" borderId="0" xfId="0" applyNumberFormat="1" applyFont="1" applyAlignment="1">
      <alignment vertical="center"/>
    </xf>
    <xf numFmtId="3" fontId="13" fillId="0" borderId="13" xfId="136" applyNumberFormat="1" applyFont="1" applyFill="1" applyBorder="1" applyAlignment="1">
      <alignment horizontal="center" vertical="center" wrapText="1"/>
    </xf>
    <xf numFmtId="3" fontId="12" fillId="0" borderId="13" xfId="136" applyNumberFormat="1" applyFont="1" applyFill="1" applyBorder="1" applyAlignment="1">
      <alignment horizontal="center" vertical="center" wrapText="1"/>
    </xf>
    <xf numFmtId="3" fontId="13" fillId="0" borderId="13" xfId="136" applyNumberFormat="1" applyFont="1" applyBorder="1" applyAlignment="1">
      <alignment horizontal="center" vertical="center"/>
    </xf>
    <xf numFmtId="3" fontId="13" fillId="0" borderId="13" xfId="136" applyNumberFormat="1" applyFont="1" applyBorder="1" applyAlignment="1">
      <alignment horizontal="right" vertical="center"/>
    </xf>
    <xf numFmtId="3" fontId="13" fillId="0" borderId="13" xfId="136" applyNumberFormat="1" applyFont="1" applyBorder="1" applyAlignment="1">
      <alignment vertical="center"/>
    </xf>
    <xf numFmtId="3" fontId="13" fillId="0" borderId="13" xfId="136" applyNumberFormat="1" applyFont="1" applyFill="1" applyBorder="1" applyAlignment="1">
      <alignment vertical="center"/>
    </xf>
    <xf numFmtId="3" fontId="12" fillId="46" borderId="13" xfId="136" applyNumberFormat="1" applyFont="1" applyFill="1" applyBorder="1" applyAlignment="1">
      <alignment horizontal="right" vertical="center"/>
    </xf>
    <xf numFmtId="3" fontId="12" fillId="46" borderId="13" xfId="136" applyNumberFormat="1" applyFont="1" applyFill="1" applyBorder="1" applyAlignment="1">
      <alignment vertical="center"/>
    </xf>
    <xf numFmtId="3" fontId="13" fillId="0" borderId="13" xfId="0" applyNumberFormat="1" applyFont="1" applyFill="1" applyBorder="1" applyAlignment="1">
      <alignment vertical="center"/>
    </xf>
    <xf numFmtId="3" fontId="13" fillId="0" borderId="14" xfId="0" applyNumberFormat="1" applyFont="1" applyFill="1" applyBorder="1" applyAlignment="1">
      <alignment vertical="center"/>
    </xf>
    <xf numFmtId="3" fontId="13" fillId="0" borderId="13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8" fillId="0" borderId="0" xfId="0" applyNumberFormat="1" applyFont="1" applyFill="1" applyAlignment="1">
      <alignment vertical="center"/>
    </xf>
    <xf numFmtId="0" fontId="8" fillId="0" borderId="0" xfId="0" applyFont="1" applyFill="1"/>
    <xf numFmtId="0" fontId="9" fillId="0" borderId="0" xfId="0" applyFont="1"/>
    <xf numFmtId="3" fontId="8" fillId="0" borderId="0" xfId="0" applyNumberFormat="1" applyFont="1" applyFill="1" applyBorder="1" applyAlignment="1">
      <alignment vertical="center"/>
    </xf>
    <xf numFmtId="0" fontId="8" fillId="0" borderId="0" xfId="0" applyFont="1"/>
    <xf numFmtId="3" fontId="8" fillId="0" borderId="0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 wrapText="1"/>
    </xf>
    <xf numFmtId="0" fontId="9" fillId="0" borderId="0" xfId="0" applyFont="1" applyFill="1"/>
    <xf numFmtId="3" fontId="8" fillId="0" borderId="0" xfId="0" applyNumberFormat="1" applyFont="1" applyAlignment="1">
      <alignment horizontal="center" vertical="center" wrapText="1"/>
    </xf>
    <xf numFmtId="0" fontId="7" fillId="0" borderId="0" xfId="127" applyAlignment="1">
      <alignment vertical="center"/>
    </xf>
    <xf numFmtId="0" fontId="7" fillId="0" borderId="0" xfId="127" applyAlignment="1">
      <alignment vertical="top"/>
    </xf>
    <xf numFmtId="0" fontId="16" fillId="0" borderId="0" xfId="127" applyFont="1" applyAlignment="1">
      <alignment vertical="center"/>
    </xf>
    <xf numFmtId="3" fontId="7" fillId="0" borderId="0" xfId="127" applyNumberFormat="1" applyAlignment="1">
      <alignment vertical="center"/>
    </xf>
    <xf numFmtId="3" fontId="17" fillId="0" borderId="0" xfId="136" applyNumberFormat="1" applyFont="1" applyFill="1" applyAlignment="1">
      <alignment vertical="center"/>
    </xf>
    <xf numFmtId="3" fontId="8" fillId="0" borderId="0" xfId="136" applyNumberFormat="1" applyFont="1" applyAlignment="1">
      <alignment vertical="center"/>
    </xf>
    <xf numFmtId="3" fontId="8" fillId="0" borderId="0" xfId="136" applyNumberFormat="1" applyFont="1" applyFill="1" applyBorder="1" applyAlignment="1">
      <alignment vertical="center"/>
    </xf>
    <xf numFmtId="0" fontId="8" fillId="0" borderId="0" xfId="0" applyFont="1" applyBorder="1"/>
    <xf numFmtId="3" fontId="12" fillId="46" borderId="16" xfId="0" applyNumberFormat="1" applyFont="1" applyFill="1" applyBorder="1" applyAlignment="1">
      <alignment horizontal="center" vertical="center" wrapText="1"/>
    </xf>
    <xf numFmtId="3" fontId="12" fillId="46" borderId="17" xfId="0" applyNumberFormat="1" applyFont="1" applyFill="1" applyBorder="1" applyAlignment="1">
      <alignment horizontal="center" vertical="center" wrapText="1"/>
    </xf>
    <xf numFmtId="3" fontId="12" fillId="46" borderId="18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Fill="1" applyBorder="1" applyAlignment="1">
      <alignment vertical="center" wrapText="1"/>
    </xf>
    <xf numFmtId="3" fontId="12" fillId="0" borderId="13" xfId="0" applyNumberFormat="1" applyFont="1" applyBorder="1" applyAlignment="1">
      <alignment vertical="center" wrapText="1"/>
    </xf>
    <xf numFmtId="3" fontId="12" fillId="0" borderId="15" xfId="0" applyNumberFormat="1" applyFont="1" applyBorder="1" applyAlignment="1">
      <alignment vertical="center" wrapText="1"/>
    </xf>
    <xf numFmtId="3" fontId="12" fillId="0" borderId="0" xfId="0" applyNumberFormat="1" applyFont="1" applyFill="1" applyBorder="1" applyAlignment="1">
      <alignment vertical="center"/>
    </xf>
    <xf numFmtId="3" fontId="13" fillId="0" borderId="13" xfId="0" applyNumberFormat="1" applyFont="1" applyBorder="1" applyAlignment="1">
      <alignment vertical="center" wrapText="1"/>
    </xf>
    <xf numFmtId="3" fontId="13" fillId="0" borderId="0" xfId="0" applyNumberFormat="1" applyFont="1" applyFill="1" applyBorder="1" applyAlignment="1">
      <alignment vertical="center"/>
    </xf>
    <xf numFmtId="3" fontId="13" fillId="0" borderId="13" xfId="0" applyNumberFormat="1" applyFont="1" applyFill="1" applyBorder="1" applyAlignment="1">
      <alignment vertical="center" wrapText="1"/>
    </xf>
    <xf numFmtId="3" fontId="12" fillId="46" borderId="13" xfId="0" applyNumberFormat="1" applyFont="1" applyFill="1" applyBorder="1" applyAlignment="1">
      <alignment vertical="center" wrapText="1"/>
    </xf>
    <xf numFmtId="3" fontId="11" fillId="0" borderId="13" xfId="0" applyNumberFormat="1" applyFont="1" applyFill="1" applyBorder="1" applyAlignment="1">
      <alignment horizontal="center" vertical="center" wrapText="1"/>
    </xf>
    <xf numFmtId="3" fontId="12" fillId="46" borderId="19" xfId="0" applyNumberFormat="1" applyFont="1" applyFill="1" applyBorder="1" applyAlignment="1">
      <alignment vertical="center" wrapText="1"/>
    </xf>
    <xf numFmtId="3" fontId="12" fillId="46" borderId="20" xfId="0" applyNumberFormat="1" applyFont="1" applyFill="1" applyBorder="1" applyAlignment="1">
      <alignment vertical="center" wrapText="1"/>
    </xf>
    <xf numFmtId="3" fontId="12" fillId="46" borderId="20" xfId="0" applyNumberFormat="1" applyFont="1" applyFill="1" applyBorder="1" applyAlignment="1">
      <alignment vertical="center"/>
    </xf>
    <xf numFmtId="3" fontId="12" fillId="46" borderId="21" xfId="0" applyNumberFormat="1" applyFont="1" applyFill="1" applyBorder="1" applyAlignment="1">
      <alignment vertical="center"/>
    </xf>
    <xf numFmtId="3" fontId="12" fillId="46" borderId="22" xfId="0" applyNumberFormat="1" applyFont="1" applyFill="1" applyBorder="1" applyAlignment="1">
      <alignment horizontal="left" vertical="center" wrapText="1"/>
    </xf>
    <xf numFmtId="3" fontId="17" fillId="0" borderId="0" xfId="136" applyNumberFormat="1" applyFont="1" applyAlignment="1">
      <alignment vertical="center"/>
    </xf>
    <xf numFmtId="3" fontId="8" fillId="0" borderId="0" xfId="136" applyNumberFormat="1" applyFont="1" applyFill="1" applyAlignment="1">
      <alignment vertical="center"/>
    </xf>
    <xf numFmtId="3" fontId="11" fillId="46" borderId="13" xfId="0" applyNumberFormat="1" applyFont="1" applyFill="1" applyBorder="1" applyAlignment="1">
      <alignment vertical="center" wrapText="1"/>
    </xf>
    <xf numFmtId="3" fontId="11" fillId="46" borderId="16" xfId="0" applyNumberFormat="1" applyFont="1" applyFill="1" applyBorder="1" applyAlignment="1">
      <alignment horizontal="center" vertical="center" wrapText="1"/>
    </xf>
    <xf numFmtId="3" fontId="11" fillId="0" borderId="13" xfId="0" applyNumberFormat="1" applyFont="1" applyFill="1" applyBorder="1" applyAlignment="1">
      <alignment vertical="center" wrapText="1"/>
    </xf>
    <xf numFmtId="3" fontId="10" fillId="0" borderId="13" xfId="0" applyNumberFormat="1" applyFont="1" applyFill="1" applyBorder="1" applyAlignment="1">
      <alignment horizontal="center" vertical="center" wrapText="1"/>
    </xf>
    <xf numFmtId="3" fontId="10" fillId="0" borderId="13" xfId="0" applyNumberFormat="1" applyFont="1" applyFill="1" applyBorder="1" applyAlignment="1">
      <alignment vertical="center" wrapText="1"/>
    </xf>
    <xf numFmtId="3" fontId="11" fillId="46" borderId="13" xfId="0" applyNumberFormat="1" applyFont="1" applyFill="1" applyBorder="1" applyAlignment="1">
      <alignment horizontal="center" vertical="center" wrapText="1"/>
    </xf>
    <xf numFmtId="0" fontId="13" fillId="0" borderId="13" xfId="127" applyFont="1" applyBorder="1" applyAlignment="1">
      <alignment vertical="center"/>
    </xf>
    <xf numFmtId="0" fontId="13" fillId="0" borderId="13" xfId="127" applyFont="1" applyBorder="1" applyAlignment="1">
      <alignment horizontal="center" vertical="center"/>
    </xf>
    <xf numFmtId="3" fontId="13" fillId="0" borderId="13" xfId="127" applyNumberFormat="1" applyFont="1" applyBorder="1" applyAlignment="1">
      <alignment vertical="center"/>
    </xf>
    <xf numFmtId="0" fontId="12" fillId="46" borderId="13" xfId="127" applyFont="1" applyFill="1" applyBorder="1" applyAlignment="1">
      <alignment horizontal="center" vertical="center"/>
    </xf>
    <xf numFmtId="0" fontId="12" fillId="46" borderId="13" xfId="127" applyFont="1" applyFill="1" applyBorder="1" applyAlignment="1">
      <alignment vertical="center"/>
    </xf>
    <xf numFmtId="0" fontId="10" fillId="0" borderId="13" xfId="127" applyFont="1" applyBorder="1" applyAlignment="1">
      <alignment horizontal="center" vertical="center"/>
    </xf>
    <xf numFmtId="3" fontId="13" fillId="0" borderId="13" xfId="136" applyNumberFormat="1" applyFont="1" applyBorder="1" applyAlignment="1">
      <alignment horizontal="left" vertical="center" wrapText="1"/>
    </xf>
    <xf numFmtId="3" fontId="13" fillId="0" borderId="13" xfId="136" applyNumberFormat="1" applyFont="1" applyBorder="1" applyAlignment="1">
      <alignment horizontal="left" vertical="center"/>
    </xf>
    <xf numFmtId="3" fontId="13" fillId="46" borderId="13" xfId="136" applyNumberFormat="1" applyFont="1" applyFill="1" applyBorder="1" applyAlignment="1">
      <alignment horizontal="center" vertical="center"/>
    </xf>
    <xf numFmtId="3" fontId="11" fillId="47" borderId="23" xfId="136" applyNumberFormat="1" applyFont="1" applyFill="1" applyBorder="1" applyAlignment="1">
      <alignment horizontal="center" vertical="center" wrapText="1"/>
    </xf>
    <xf numFmtId="3" fontId="11" fillId="0" borderId="13" xfId="136" applyNumberFormat="1" applyFont="1" applyFill="1" applyBorder="1" applyAlignment="1">
      <alignment horizontal="left" vertical="center" wrapText="1"/>
    </xf>
    <xf numFmtId="3" fontId="10" fillId="0" borderId="13" xfId="136" applyNumberFormat="1" applyFont="1" applyFill="1" applyBorder="1" applyAlignment="1">
      <alignment horizontal="center" vertical="center" wrapText="1"/>
    </xf>
    <xf numFmtId="3" fontId="10" fillId="0" borderId="13" xfId="136" applyNumberFormat="1" applyFont="1" applyFill="1" applyBorder="1" applyAlignment="1">
      <alignment horizontal="left" vertical="center" wrapText="1"/>
    </xf>
    <xf numFmtId="3" fontId="10" fillId="0" borderId="13" xfId="136" applyNumberFormat="1" applyFont="1" applyBorder="1" applyAlignment="1">
      <alignment horizontal="center" vertical="center"/>
    </xf>
    <xf numFmtId="3" fontId="10" fillId="0" borderId="13" xfId="136" applyNumberFormat="1" applyFont="1" applyBorder="1" applyAlignment="1">
      <alignment horizontal="left" vertical="center" wrapText="1"/>
    </xf>
    <xf numFmtId="3" fontId="10" fillId="0" borderId="13" xfId="136" applyNumberFormat="1" applyFont="1" applyBorder="1" applyAlignment="1">
      <alignment vertical="center"/>
    </xf>
    <xf numFmtId="3" fontId="10" fillId="0" borderId="13" xfId="136" applyNumberFormat="1" applyFont="1" applyBorder="1" applyAlignment="1">
      <alignment horizontal="left" vertical="center"/>
    </xf>
    <xf numFmtId="3" fontId="10" fillId="46" borderId="13" xfId="136" applyNumberFormat="1" applyFont="1" applyFill="1" applyBorder="1" applyAlignment="1">
      <alignment horizontal="center" vertical="center"/>
    </xf>
    <xf numFmtId="3" fontId="11" fillId="46" borderId="13" xfId="136" applyNumberFormat="1" applyFont="1" applyFill="1" applyBorder="1" applyAlignment="1">
      <alignment horizontal="left" vertical="center" wrapText="1"/>
    </xf>
    <xf numFmtId="3" fontId="11" fillId="46" borderId="13" xfId="136" applyNumberFormat="1" applyFont="1" applyFill="1" applyBorder="1" applyAlignment="1">
      <alignment vertical="center"/>
    </xf>
    <xf numFmtId="3" fontId="10" fillId="0" borderId="0" xfId="0" applyNumberFormat="1" applyFont="1" applyFill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0" borderId="0" xfId="0" applyFont="1"/>
    <xf numFmtId="3" fontId="12" fillId="46" borderId="13" xfId="127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 wrapText="1"/>
    </xf>
    <xf numFmtId="3" fontId="10" fillId="0" borderId="13" xfId="136" applyNumberFormat="1" applyFont="1" applyFill="1" applyBorder="1" applyAlignment="1">
      <alignment vertical="center" wrapText="1"/>
    </xf>
    <xf numFmtId="3" fontId="11" fillId="0" borderId="13" xfId="136" applyNumberFormat="1" applyFont="1" applyBorder="1" applyAlignment="1">
      <alignment vertical="center"/>
    </xf>
    <xf numFmtId="3" fontId="11" fillId="0" borderId="13" xfId="136" applyNumberFormat="1" applyFont="1" applyBorder="1" applyAlignment="1">
      <alignment horizontal="left" vertical="center" wrapText="1"/>
    </xf>
    <xf numFmtId="3" fontId="10" fillId="46" borderId="13" xfId="0" applyNumberFormat="1" applyFont="1" applyFill="1" applyBorder="1" applyAlignment="1">
      <alignment horizontal="center" vertical="center" wrapText="1"/>
    </xf>
    <xf numFmtId="3" fontId="10" fillId="0" borderId="24" xfId="0" applyNumberFormat="1" applyFont="1" applyFill="1" applyBorder="1" applyAlignment="1">
      <alignment vertical="center" wrapText="1"/>
    </xf>
    <xf numFmtId="3" fontId="13" fillId="0" borderId="13" xfId="136" applyNumberFormat="1" applyFont="1" applyFill="1" applyBorder="1" applyAlignment="1">
      <alignment horizontal="right" vertical="center"/>
    </xf>
    <xf numFmtId="3" fontId="13" fillId="0" borderId="13" xfId="0" applyNumberFormat="1" applyFont="1" applyFill="1" applyBorder="1" applyAlignment="1">
      <alignment horizontal="center" vertical="center"/>
    </xf>
    <xf numFmtId="3" fontId="12" fillId="46" borderId="13" xfId="0" applyNumberFormat="1" applyFont="1" applyFill="1" applyBorder="1" applyAlignment="1">
      <alignment vertical="center"/>
    </xf>
    <xf numFmtId="3" fontId="12" fillId="46" borderId="25" xfId="0" applyNumberFormat="1" applyFont="1" applyFill="1" applyBorder="1" applyAlignment="1">
      <alignment vertical="center" wrapText="1"/>
    </xf>
    <xf numFmtId="3" fontId="12" fillId="46" borderId="26" xfId="0" applyNumberFormat="1" applyFont="1" applyFill="1" applyBorder="1" applyAlignment="1">
      <alignment vertical="center"/>
    </xf>
    <xf numFmtId="3" fontId="12" fillId="46" borderId="26" xfId="0" applyNumberFormat="1" applyFont="1" applyFill="1" applyBorder="1" applyAlignment="1">
      <alignment vertical="center" wrapText="1"/>
    </xf>
    <xf numFmtId="3" fontId="13" fillId="0" borderId="13" xfId="0" applyNumberFormat="1" applyFont="1" applyFill="1" applyBorder="1" applyAlignment="1">
      <alignment horizontal="right" vertical="center"/>
    </xf>
    <xf numFmtId="0" fontId="12" fillId="46" borderId="13" xfId="127" applyFont="1" applyFill="1" applyBorder="1" applyAlignment="1">
      <alignment vertical="center" wrapText="1"/>
    </xf>
    <xf numFmtId="3" fontId="12" fillId="0" borderId="13" xfId="136" applyNumberFormat="1" applyFont="1" applyFill="1" applyBorder="1" applyAlignment="1">
      <alignment horizontal="center" vertical="center"/>
    </xf>
    <xf numFmtId="0" fontId="13" fillId="0" borderId="13" xfId="127" applyFont="1" applyFill="1" applyBorder="1" applyAlignment="1">
      <alignment vertical="center"/>
    </xf>
    <xf numFmtId="3" fontId="11" fillId="0" borderId="13" xfId="136" applyNumberFormat="1" applyFont="1" applyFill="1" applyBorder="1" applyAlignment="1">
      <alignment vertical="center"/>
    </xf>
    <xf numFmtId="0" fontId="12" fillId="46" borderId="13" xfId="127" applyFont="1" applyFill="1" applyBorder="1" applyAlignment="1">
      <alignment horizontal="center" vertical="center" wrapText="1"/>
    </xf>
    <xf numFmtId="3" fontId="12" fillId="46" borderId="13" xfId="136" applyNumberFormat="1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 wrapText="1"/>
    </xf>
    <xf numFmtId="0" fontId="12" fillId="46" borderId="13" xfId="127" applyFont="1" applyFill="1" applyBorder="1" applyAlignment="1">
      <alignment horizontal="center" vertical="top" wrapText="1"/>
    </xf>
    <xf numFmtId="3" fontId="11" fillId="0" borderId="22" xfId="136" applyNumberFormat="1" applyFont="1" applyFill="1" applyBorder="1" applyAlignment="1">
      <alignment horizontal="center" vertical="center" wrapText="1"/>
    </xf>
    <xf numFmtId="3" fontId="11" fillId="0" borderId="22" xfId="136" applyNumberFormat="1" applyFont="1" applyFill="1" applyBorder="1" applyAlignment="1">
      <alignment horizontal="left" vertical="center" wrapText="1"/>
    </xf>
    <xf numFmtId="3" fontId="10" fillId="0" borderId="13" xfId="0" applyNumberFormat="1" applyFont="1" applyFill="1" applyBorder="1" applyAlignment="1">
      <alignment horizontal="left" vertical="center" wrapText="1"/>
    </xf>
    <xf numFmtId="3" fontId="10" fillId="0" borderId="13" xfId="0" applyNumberFormat="1" applyFont="1" applyFill="1" applyBorder="1" applyAlignment="1">
      <alignment horizontal="right" vertical="center" wrapText="1"/>
    </xf>
    <xf numFmtId="3" fontId="10" fillId="0" borderId="24" xfId="0" applyNumberFormat="1" applyFont="1" applyFill="1" applyBorder="1" applyAlignment="1">
      <alignment horizontal="right" vertical="center" wrapText="1"/>
    </xf>
    <xf numFmtId="3" fontId="10" fillId="46" borderId="24" xfId="0" applyNumberFormat="1" applyFont="1" applyFill="1" applyBorder="1" applyAlignment="1">
      <alignment horizontal="center" vertical="center" wrapText="1"/>
    </xf>
    <xf numFmtId="0" fontId="13" fillId="0" borderId="13" xfId="134" applyFont="1" applyFill="1" applyBorder="1" applyAlignment="1">
      <alignment vertical="center" wrapText="1"/>
    </xf>
    <xf numFmtId="0" fontId="13" fillId="0" borderId="13" xfId="127" applyFont="1" applyBorder="1" applyAlignment="1">
      <alignment vertical="center" wrapText="1"/>
    </xf>
    <xf numFmtId="0" fontId="58" fillId="46" borderId="14" xfId="0" applyFont="1" applyFill="1" applyBorder="1" applyAlignment="1">
      <alignment horizontal="center" vertical="center" wrapText="1"/>
    </xf>
    <xf numFmtId="0" fontId="13" fillId="0" borderId="21" xfId="127" applyFont="1" applyBorder="1" applyAlignment="1">
      <alignment vertical="center"/>
    </xf>
    <xf numFmtId="0" fontId="76" fillId="0" borderId="0" xfId="128" applyAlignment="1">
      <alignment vertical="center"/>
    </xf>
    <xf numFmtId="0" fontId="76" fillId="0" borderId="0" xfId="128" applyAlignment="1">
      <alignment vertical="top"/>
    </xf>
    <xf numFmtId="3" fontId="76" fillId="0" borderId="0" xfId="128" applyNumberFormat="1" applyAlignment="1">
      <alignment vertical="center"/>
    </xf>
    <xf numFmtId="3" fontId="13" fillId="0" borderId="13" xfId="136" applyNumberFormat="1" applyFont="1" applyFill="1" applyBorder="1" applyAlignment="1">
      <alignment horizontal="left" vertical="center"/>
    </xf>
    <xf numFmtId="0" fontId="13" fillId="0" borderId="14" xfId="0" applyFont="1" applyFill="1" applyBorder="1"/>
    <xf numFmtId="0" fontId="13" fillId="0" borderId="13" xfId="0" applyFont="1" applyFill="1" applyBorder="1"/>
    <xf numFmtId="3" fontId="8" fillId="0" borderId="0" xfId="0" applyNumberFormat="1" applyFont="1" applyBorder="1"/>
    <xf numFmtId="0" fontId="12" fillId="46" borderId="13" xfId="128" applyFont="1" applyFill="1" applyBorder="1" applyAlignment="1">
      <alignment horizontal="center" vertical="center" wrapText="1"/>
    </xf>
    <xf numFmtId="0" fontId="19" fillId="0" borderId="13" xfId="132" applyFont="1" applyFill="1" applyBorder="1" applyAlignment="1">
      <alignment horizontal="left" vertical="center" wrapText="1"/>
    </xf>
    <xf numFmtId="3" fontId="13" fillId="0" borderId="13" xfId="128" applyNumberFormat="1" applyFont="1" applyBorder="1" applyAlignment="1">
      <alignment vertical="center"/>
    </xf>
    <xf numFmtId="0" fontId="13" fillId="0" borderId="13" xfId="133" applyFont="1" applyFill="1" applyBorder="1" applyAlignment="1">
      <alignment vertical="center" wrapText="1"/>
    </xf>
    <xf numFmtId="0" fontId="13" fillId="0" borderId="13" xfId="133" applyFont="1" applyFill="1" applyBorder="1" applyAlignment="1">
      <alignment vertical="center"/>
    </xf>
    <xf numFmtId="0" fontId="13" fillId="0" borderId="13" xfId="133" applyFont="1" applyBorder="1" applyAlignment="1">
      <alignment vertical="center"/>
    </xf>
    <xf numFmtId="0" fontId="13" fillId="0" borderId="13" xfId="135" applyFont="1" applyFill="1" applyBorder="1" applyAlignment="1">
      <alignment vertical="center"/>
    </xf>
    <xf numFmtId="0" fontId="11" fillId="46" borderId="13" xfId="128" applyFont="1" applyFill="1" applyBorder="1" applyAlignment="1">
      <alignment vertical="center" wrapText="1"/>
    </xf>
    <xf numFmtId="3" fontId="11" fillId="46" borderId="13" xfId="128" applyNumberFormat="1" applyFont="1" applyFill="1" applyBorder="1" applyAlignment="1">
      <alignment vertical="center"/>
    </xf>
    <xf numFmtId="3" fontId="77" fillId="0" borderId="0" xfId="128" applyNumberFormat="1" applyFont="1" applyAlignment="1">
      <alignment vertical="center"/>
    </xf>
    <xf numFmtId="0" fontId="13" fillId="0" borderId="13" xfId="132" applyFont="1" applyFill="1" applyBorder="1" applyAlignment="1">
      <alignment horizontal="center" vertical="center" wrapText="1"/>
    </xf>
    <xf numFmtId="0" fontId="13" fillId="0" borderId="13" xfId="132" applyFont="1" applyFill="1" applyBorder="1" applyAlignment="1">
      <alignment horizontal="left" vertical="center" wrapText="1"/>
    </xf>
    <xf numFmtId="3" fontId="13" fillId="0" borderId="13" xfId="136" applyNumberFormat="1" applyFont="1" applyFill="1" applyBorder="1" applyAlignment="1">
      <alignment horizontal="right" vertical="center" wrapText="1"/>
    </xf>
    <xf numFmtId="0" fontId="12" fillId="46" borderId="13" xfId="128" applyFont="1" applyFill="1" applyBorder="1" applyAlignment="1">
      <alignment horizontal="center" vertical="center"/>
    </xf>
    <xf numFmtId="0" fontId="12" fillId="46" borderId="13" xfId="128" applyFont="1" applyFill="1" applyBorder="1" applyAlignment="1">
      <alignment vertical="center" wrapText="1"/>
    </xf>
    <xf numFmtId="3" fontId="10" fillId="0" borderId="24" xfId="0" applyNumberFormat="1" applyFont="1" applyFill="1" applyBorder="1" applyAlignment="1">
      <alignment horizontal="left" vertical="center" wrapText="1"/>
    </xf>
    <xf numFmtId="0" fontId="13" fillId="9" borderId="32" xfId="151" applyFont="1" applyFill="1" applyBorder="1" applyAlignment="1">
      <alignment vertical="center"/>
    </xf>
    <xf numFmtId="0" fontId="8" fillId="0" borderId="0" xfId="151" applyFont="1" applyAlignment="1">
      <alignment vertical="center"/>
    </xf>
    <xf numFmtId="0" fontId="12" fillId="50" borderId="35" xfId="151" applyFont="1" applyFill="1" applyBorder="1" applyAlignment="1">
      <alignment horizontal="center" vertical="top"/>
    </xf>
    <xf numFmtId="0" fontId="7" fillId="0" borderId="0" xfId="154"/>
    <xf numFmtId="0" fontId="11" fillId="46" borderId="33" xfId="127" applyFont="1" applyFill="1" applyBorder="1" applyAlignment="1">
      <alignment horizontal="center" vertical="top" wrapText="1"/>
    </xf>
    <xf numFmtId="0" fontId="11" fillId="46" borderId="33" xfId="127" applyFont="1" applyFill="1" applyBorder="1" applyAlignment="1">
      <alignment horizontal="center" vertical="center" wrapText="1"/>
    </xf>
    <xf numFmtId="0" fontId="7" fillId="0" borderId="0" xfId="154" applyAlignment="1">
      <alignment vertical="center"/>
    </xf>
    <xf numFmtId="0" fontId="10" fillId="0" borderId="21" xfId="134" applyFont="1" applyBorder="1" applyAlignment="1">
      <alignment horizontal="center" vertical="center"/>
    </xf>
    <xf numFmtId="0" fontId="10" fillId="0" borderId="33" xfId="134" applyFont="1" applyBorder="1" applyAlignment="1">
      <alignment horizontal="center" vertical="center"/>
    </xf>
    <xf numFmtId="0" fontId="11" fillId="0" borderId="33" xfId="134" applyFont="1" applyBorder="1" applyAlignment="1">
      <alignment horizontal="center" vertical="center"/>
    </xf>
    <xf numFmtId="3" fontId="10" fillId="0" borderId="33" xfId="0" applyNumberFormat="1" applyFont="1" applyBorder="1" applyAlignment="1">
      <alignment horizontal="center" vertical="center"/>
    </xf>
    <xf numFmtId="0" fontId="82" fillId="0" borderId="0" xfId="154" applyFont="1" applyAlignment="1">
      <alignment vertical="center"/>
    </xf>
    <xf numFmtId="0" fontId="11" fillId="46" borderId="33" xfId="134" applyFont="1" applyFill="1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0" fillId="0" borderId="36" xfId="134" applyFont="1" applyBorder="1" applyAlignment="1">
      <alignment horizontal="center" vertical="center"/>
    </xf>
    <xf numFmtId="0" fontId="10" fillId="0" borderId="37" xfId="129" applyFont="1" applyBorder="1" applyAlignment="1">
      <alignment vertical="center" wrapText="1"/>
    </xf>
    <xf numFmtId="3" fontId="13" fillId="0" borderId="36" xfId="0" applyNumberFormat="1" applyFont="1" applyBorder="1" applyAlignment="1">
      <alignment vertical="center"/>
    </xf>
    <xf numFmtId="3" fontId="10" fillId="0" borderId="37" xfId="0" applyNumberFormat="1" applyFont="1" applyBorder="1" applyAlignment="1">
      <alignment horizontal="left" vertical="center" wrapText="1"/>
    </xf>
    <xf numFmtId="3" fontId="13" fillId="0" borderId="36" xfId="0" applyNumberFormat="1" applyFont="1" applyBorder="1" applyAlignment="1">
      <alignment horizontal="left" vertical="center" wrapText="1"/>
    </xf>
    <xf numFmtId="3" fontId="10" fillId="0" borderId="37" xfId="0" applyNumberFormat="1" applyFont="1" applyBorder="1" applyAlignment="1">
      <alignment vertical="center" wrapText="1"/>
    </xf>
    <xf numFmtId="0" fontId="11" fillId="46" borderId="36" xfId="134" applyFont="1" applyFill="1" applyBorder="1" applyAlignment="1">
      <alignment horizontal="center" vertical="center"/>
    </xf>
    <xf numFmtId="0" fontId="11" fillId="0" borderId="36" xfId="134" applyFont="1" applyBorder="1" applyAlignment="1">
      <alignment horizontal="center" vertical="center"/>
    </xf>
    <xf numFmtId="0" fontId="10" fillId="0" borderId="36" xfId="0" applyFont="1" applyBorder="1" applyAlignment="1">
      <alignment vertical="center"/>
    </xf>
    <xf numFmtId="0" fontId="10" fillId="0" borderId="37" xfId="134" applyFont="1" applyBorder="1" applyAlignment="1">
      <alignment vertical="center"/>
    </xf>
    <xf numFmtId="0" fontId="10" fillId="0" borderId="39" xfId="134" applyFont="1" applyBorder="1" applyAlignment="1">
      <alignment horizontal="center" vertical="center"/>
    </xf>
    <xf numFmtId="0" fontId="10" fillId="46" borderId="36" xfId="134" applyFont="1" applyFill="1" applyBorder="1" applyAlignment="1">
      <alignment horizontal="center" vertical="center"/>
    </xf>
    <xf numFmtId="0" fontId="11" fillId="46" borderId="37" xfId="127" applyFont="1" applyFill="1" applyBorder="1" applyAlignment="1">
      <alignment vertical="center" wrapText="1"/>
    </xf>
    <xf numFmtId="3" fontId="12" fillId="46" borderId="41" xfId="136" applyNumberFormat="1" applyFont="1" applyFill="1" applyBorder="1" applyAlignment="1">
      <alignment horizontal="center" vertical="center" wrapText="1"/>
    </xf>
    <xf numFmtId="3" fontId="12" fillId="46" borderId="21" xfId="136" applyNumberFormat="1" applyFont="1" applyFill="1" applyBorder="1" applyAlignment="1">
      <alignment horizontal="center" vertical="center" wrapText="1"/>
    </xf>
    <xf numFmtId="3" fontId="12" fillId="46" borderId="27" xfId="136" applyNumberFormat="1" applyFont="1" applyFill="1" applyBorder="1" applyAlignment="1">
      <alignment horizontal="center" vertical="center" wrapText="1"/>
    </xf>
    <xf numFmtId="3" fontId="13" fillId="0" borderId="21" xfId="136" applyNumberFormat="1" applyFont="1" applyBorder="1" applyAlignment="1">
      <alignment horizontal="center" vertical="center" wrapText="1"/>
    </xf>
    <xf numFmtId="3" fontId="13" fillId="0" borderId="36" xfId="136" applyNumberFormat="1" applyFont="1" applyBorder="1" applyAlignment="1">
      <alignment horizontal="center" vertical="center" wrapText="1"/>
    </xf>
    <xf numFmtId="3" fontId="13" fillId="0" borderId="42" xfId="136" applyNumberFormat="1" applyFont="1" applyBorder="1" applyAlignment="1">
      <alignment horizontal="center" vertical="center" wrapText="1"/>
    </xf>
    <xf numFmtId="3" fontId="13" fillId="0" borderId="21" xfId="0" applyNumberFormat="1" applyFont="1" applyBorder="1" applyAlignment="1">
      <alignment vertical="center"/>
    </xf>
    <xf numFmtId="3" fontId="13" fillId="0" borderId="21" xfId="0" applyNumberFormat="1" applyFont="1" applyBorder="1" applyAlignment="1">
      <alignment horizontal="center" vertical="center"/>
    </xf>
    <xf numFmtId="3" fontId="12" fillId="0" borderId="36" xfId="136" applyNumberFormat="1" applyFont="1" applyBorder="1" applyAlignment="1">
      <alignment horizontal="center" vertical="center" wrapText="1"/>
    </xf>
    <xf numFmtId="3" fontId="12" fillId="0" borderId="21" xfId="136" applyNumberFormat="1" applyFont="1" applyBorder="1" applyAlignment="1">
      <alignment horizontal="center" vertical="center" wrapText="1"/>
    </xf>
    <xf numFmtId="3" fontId="13" fillId="0" borderId="36" xfId="0" applyNumberFormat="1" applyFont="1" applyBorder="1" applyAlignment="1">
      <alignment horizontal="center" vertical="center"/>
    </xf>
    <xf numFmtId="3" fontId="13" fillId="0" borderId="36" xfId="136" applyNumberFormat="1" applyFont="1" applyBorder="1" applyAlignment="1">
      <alignment horizontal="center" vertical="center"/>
    </xf>
    <xf numFmtId="0" fontId="13" fillId="0" borderId="37" xfId="127" applyFont="1" applyBorder="1" applyAlignment="1">
      <alignment vertical="center"/>
    </xf>
    <xf numFmtId="3" fontId="12" fillId="0" borderId="36" xfId="136" applyNumberFormat="1" applyFont="1" applyBorder="1" applyAlignment="1">
      <alignment horizontal="left" vertical="center"/>
    </xf>
    <xf numFmtId="3" fontId="12" fillId="0" borderId="36" xfId="136" applyNumberFormat="1" applyFont="1" applyBorder="1" applyAlignment="1">
      <alignment horizontal="center" vertical="center"/>
    </xf>
    <xf numFmtId="3" fontId="13" fillId="0" borderId="36" xfId="136" applyNumberFormat="1" applyFont="1" applyBorder="1" applyAlignment="1">
      <alignment horizontal="right" vertical="center"/>
    </xf>
    <xf numFmtId="3" fontId="13" fillId="0" borderId="37" xfId="136" applyNumberFormat="1" applyFont="1" applyBorder="1" applyAlignment="1">
      <alignment horizontal="center" vertical="center"/>
    </xf>
    <xf numFmtId="3" fontId="13" fillId="0" borderId="37" xfId="136" applyNumberFormat="1" applyFont="1" applyBorder="1" applyAlignment="1">
      <alignment horizontal="left" vertical="center"/>
    </xf>
    <xf numFmtId="0" fontId="13" fillId="0" borderId="36" xfId="0" applyFont="1" applyBorder="1" applyAlignment="1">
      <alignment horizontal="right" vertical="center"/>
    </xf>
    <xf numFmtId="0" fontId="13" fillId="0" borderId="36" xfId="0" applyFont="1" applyBorder="1" applyAlignment="1">
      <alignment horizontal="center" vertical="center"/>
    </xf>
    <xf numFmtId="3" fontId="13" fillId="0" borderId="37" xfId="136" applyNumberFormat="1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3" fontId="13" fillId="0" borderId="36" xfId="136" applyNumberFormat="1" applyFont="1" applyBorder="1" applyAlignment="1">
      <alignment vertical="center"/>
    </xf>
    <xf numFmtId="3" fontId="13" fillId="0" borderId="37" xfId="0" applyNumberFormat="1" applyFont="1" applyBorder="1" applyAlignment="1">
      <alignment horizontal="left" vertical="center"/>
    </xf>
    <xf numFmtId="3" fontId="13" fillId="0" borderId="37" xfId="0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center" vertical="center"/>
    </xf>
    <xf numFmtId="3" fontId="13" fillId="0" borderId="37" xfId="0" applyNumberFormat="1" applyFont="1" applyBorder="1" applyAlignment="1">
      <alignment horizontal="center" vertical="center"/>
    </xf>
    <xf numFmtId="0" fontId="13" fillId="0" borderId="37" xfId="134" applyFont="1" applyBorder="1" applyAlignment="1">
      <alignment vertical="center"/>
    </xf>
    <xf numFmtId="3" fontId="13" fillId="51" borderId="37" xfId="0" applyNumberFormat="1" applyFont="1" applyFill="1" applyBorder="1" applyAlignment="1">
      <alignment vertical="center"/>
    </xf>
    <xf numFmtId="3" fontId="13" fillId="51" borderId="37" xfId="0" applyNumberFormat="1" applyFont="1" applyFill="1" applyBorder="1" applyAlignment="1">
      <alignment horizontal="left" vertical="center"/>
    </xf>
    <xf numFmtId="3" fontId="13" fillId="0" borderId="36" xfId="0" applyNumberFormat="1" applyFont="1" applyBorder="1" applyAlignment="1">
      <alignment horizontal="right" vertical="center"/>
    </xf>
    <xf numFmtId="3" fontId="13" fillId="0" borderId="37" xfId="0" applyNumberFormat="1" applyFont="1" applyBorder="1" applyAlignment="1">
      <alignment vertical="center" wrapText="1"/>
    </xf>
    <xf numFmtId="3" fontId="12" fillId="46" borderId="36" xfId="0" applyNumberFormat="1" applyFont="1" applyFill="1" applyBorder="1" applyAlignment="1">
      <alignment horizontal="center" vertical="center"/>
    </xf>
    <xf numFmtId="3" fontId="12" fillId="46" borderId="37" xfId="0" applyNumberFormat="1" applyFont="1" applyFill="1" applyBorder="1" applyAlignment="1">
      <alignment horizontal="center" vertical="center"/>
    </xf>
    <xf numFmtId="3" fontId="12" fillId="46" borderId="37" xfId="0" applyNumberFormat="1" applyFont="1" applyFill="1" applyBorder="1" applyAlignment="1">
      <alignment vertical="center"/>
    </xf>
    <xf numFmtId="3" fontId="12" fillId="46" borderId="40" xfId="0" applyNumberFormat="1" applyFont="1" applyFill="1" applyBorder="1" applyAlignment="1">
      <alignment vertical="center"/>
    </xf>
    <xf numFmtId="3" fontId="12" fillId="46" borderId="36" xfId="0" applyNumberFormat="1" applyFont="1" applyFill="1" applyBorder="1" applyAlignment="1">
      <alignment vertical="center"/>
    </xf>
    <xf numFmtId="3" fontId="12" fillId="0" borderId="36" xfId="0" applyNumberFormat="1" applyFont="1" applyBorder="1" applyAlignment="1">
      <alignment horizontal="center" vertical="center"/>
    </xf>
    <xf numFmtId="3" fontId="13" fillId="0" borderId="40" xfId="0" applyNumberFormat="1" applyFont="1" applyBorder="1" applyAlignment="1">
      <alignment vertical="center"/>
    </xf>
    <xf numFmtId="3" fontId="12" fillId="0" borderId="40" xfId="0" applyNumberFormat="1" applyFont="1" applyBorder="1" applyAlignment="1">
      <alignment vertical="center"/>
    </xf>
    <xf numFmtId="3" fontId="12" fillId="0" borderId="36" xfId="0" applyNumberFormat="1" applyFont="1" applyBorder="1" applyAlignment="1">
      <alignment vertical="center"/>
    </xf>
    <xf numFmtId="0" fontId="14" fillId="0" borderId="37" xfId="127" applyFont="1" applyBorder="1" applyAlignment="1">
      <alignment vertical="center"/>
    </xf>
    <xf numFmtId="0" fontId="13" fillId="0" borderId="40" xfId="0" applyFont="1" applyBorder="1" applyAlignment="1">
      <alignment vertical="center"/>
    </xf>
    <xf numFmtId="3" fontId="13" fillId="0" borderId="37" xfId="0" applyNumberFormat="1" applyFont="1" applyBorder="1" applyAlignment="1">
      <alignment horizontal="left" vertical="center" wrapText="1"/>
    </xf>
    <xf numFmtId="3" fontId="14" fillId="0" borderId="37" xfId="0" applyNumberFormat="1" applyFont="1" applyBorder="1" applyAlignment="1">
      <alignment vertical="center" wrapText="1"/>
    </xf>
    <xf numFmtId="0" fontId="14" fillId="0" borderId="36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3" fontId="13" fillId="0" borderId="36" xfId="0" applyNumberFormat="1" applyFont="1" applyBorder="1" applyAlignment="1">
      <alignment horizontal="right" vertical="center" wrapText="1"/>
    </xf>
    <xf numFmtId="3" fontId="13" fillId="0" borderId="36" xfId="0" applyNumberFormat="1" applyFont="1" applyBorder="1" applyAlignment="1">
      <alignment vertical="center" wrapText="1"/>
    </xf>
    <xf numFmtId="0" fontId="13" fillId="0" borderId="36" xfId="0" applyFont="1" applyBorder="1" applyAlignment="1">
      <alignment horizontal="right" wrapText="1"/>
    </xf>
    <xf numFmtId="3" fontId="13" fillId="0" borderId="36" xfId="0" applyNumberFormat="1" applyFont="1" applyBorder="1" applyAlignment="1">
      <alignment wrapText="1"/>
    </xf>
    <xf numFmtId="49" fontId="13" fillId="0" borderId="36" xfId="0" applyNumberFormat="1" applyFont="1" applyBorder="1" applyAlignment="1">
      <alignment horizontal="left" vertical="center" wrapText="1"/>
    </xf>
    <xf numFmtId="0" fontId="13" fillId="0" borderId="36" xfId="0" applyFont="1" applyBorder="1" applyAlignment="1">
      <alignment horizontal="right" vertical="center" wrapText="1"/>
    </xf>
    <xf numFmtId="3" fontId="13" fillId="0" borderId="36" xfId="0" applyNumberFormat="1" applyFont="1" applyBorder="1" applyAlignment="1">
      <alignment horizontal="left" wrapText="1"/>
    </xf>
    <xf numFmtId="3" fontId="12" fillId="46" borderId="40" xfId="0" applyNumberFormat="1" applyFont="1" applyFill="1" applyBorder="1" applyAlignment="1">
      <alignment horizontal="right" vertical="center"/>
    </xf>
    <xf numFmtId="3" fontId="12" fillId="0" borderId="37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vertical="center"/>
    </xf>
    <xf numFmtId="3" fontId="12" fillId="0" borderId="40" xfId="0" applyNumberFormat="1" applyFont="1" applyBorder="1" applyAlignment="1">
      <alignment horizontal="right" vertical="center"/>
    </xf>
    <xf numFmtId="3" fontId="12" fillId="0" borderId="36" xfId="0" applyNumberFormat="1" applyFont="1" applyBorder="1" applyAlignment="1">
      <alignment horizontal="right" vertical="center"/>
    </xf>
    <xf numFmtId="3" fontId="12" fillId="0" borderId="37" xfId="0" applyNumberFormat="1" applyFont="1" applyBorder="1" applyAlignment="1">
      <alignment vertical="center"/>
    </xf>
    <xf numFmtId="3" fontId="12" fillId="0" borderId="44" xfId="0" applyNumberFormat="1" applyFont="1" applyBorder="1" applyAlignment="1">
      <alignment vertical="center"/>
    </xf>
    <xf numFmtId="3" fontId="13" fillId="0" borderId="40" xfId="0" applyNumberFormat="1" applyFont="1" applyBorder="1" applyAlignment="1">
      <alignment horizontal="right" vertical="center"/>
    </xf>
    <xf numFmtId="3" fontId="83" fillId="0" borderId="40" xfId="0" applyNumberFormat="1" applyFont="1" applyBorder="1" applyAlignment="1">
      <alignment vertical="center"/>
    </xf>
    <xf numFmtId="3" fontId="13" fillId="0" borderId="30" xfId="0" applyNumberFormat="1" applyFont="1" applyBorder="1" applyAlignment="1">
      <alignment horizontal="center" vertical="center"/>
    </xf>
    <xf numFmtId="3" fontId="13" fillId="46" borderId="40" xfId="0" applyNumberFormat="1" applyFont="1" applyFill="1" applyBorder="1" applyAlignment="1">
      <alignment vertical="center"/>
    </xf>
    <xf numFmtId="3" fontId="13" fillId="46" borderId="36" xfId="0" applyNumberFormat="1" applyFont="1" applyFill="1" applyBorder="1" applyAlignment="1">
      <alignment vertical="center"/>
    </xf>
    <xf numFmtId="3" fontId="13" fillId="46" borderId="36" xfId="136" applyNumberFormat="1" applyFont="1" applyFill="1" applyBorder="1" applyAlignment="1">
      <alignment horizontal="right" vertical="center"/>
    </xf>
    <xf numFmtId="3" fontId="12" fillId="0" borderId="39" xfId="0" applyNumberFormat="1" applyFont="1" applyBorder="1" applyAlignment="1">
      <alignment horizontal="center" vertical="center"/>
    </xf>
    <xf numFmtId="3" fontId="12" fillId="48" borderId="47" xfId="0" applyNumberFormat="1" applyFont="1" applyFill="1" applyBorder="1" applyAlignment="1">
      <alignment horizontal="center" vertical="center"/>
    </xf>
    <xf numFmtId="3" fontId="13" fillId="48" borderId="36" xfId="0" applyNumberFormat="1" applyFont="1" applyFill="1" applyBorder="1" applyAlignment="1">
      <alignment horizontal="center" vertical="center"/>
    </xf>
    <xf numFmtId="3" fontId="13" fillId="48" borderId="21" xfId="0" applyNumberFormat="1" applyFont="1" applyFill="1" applyBorder="1" applyAlignment="1">
      <alignment horizontal="center" vertical="center"/>
    </xf>
    <xf numFmtId="3" fontId="13" fillId="0" borderId="27" xfId="0" applyNumberFormat="1" applyFont="1" applyBorder="1" applyAlignment="1">
      <alignment horizontal="center" vertical="center"/>
    </xf>
    <xf numFmtId="3" fontId="13" fillId="48" borderId="48" xfId="0" applyNumberFormat="1" applyFont="1" applyFill="1" applyBorder="1" applyAlignment="1">
      <alignment horizontal="center" vertical="center"/>
    </xf>
    <xf numFmtId="3" fontId="12" fillId="46" borderId="28" xfId="0" applyNumberFormat="1" applyFont="1" applyFill="1" applyBorder="1" applyAlignment="1">
      <alignment vertical="center"/>
    </xf>
    <xf numFmtId="3" fontId="13" fillId="0" borderId="29" xfId="0" applyNumberFormat="1" applyFont="1" applyBorder="1" applyAlignment="1">
      <alignment vertical="center"/>
    </xf>
    <xf numFmtId="3" fontId="13" fillId="46" borderId="36" xfId="0" applyNumberFormat="1" applyFont="1" applyFill="1" applyBorder="1" applyAlignment="1">
      <alignment horizontal="center" vertical="center"/>
    </xf>
    <xf numFmtId="3" fontId="13" fillId="46" borderId="37" xfId="0" applyNumberFormat="1" applyFont="1" applyFill="1" applyBorder="1" applyAlignment="1">
      <alignment horizontal="center" vertical="center"/>
    </xf>
    <xf numFmtId="3" fontId="13" fillId="0" borderId="39" xfId="0" applyNumberFormat="1" applyFont="1" applyBorder="1" applyAlignment="1">
      <alignment horizontal="center" vertical="center"/>
    </xf>
    <xf numFmtId="0" fontId="13" fillId="0" borderId="40" xfId="171" applyFont="1" applyBorder="1" applyAlignment="1">
      <alignment vertical="center" wrapText="1"/>
    </xf>
    <xf numFmtId="3" fontId="13" fillId="0" borderId="36" xfId="171" applyNumberFormat="1" applyFont="1" applyBorder="1" applyAlignment="1">
      <alignment vertical="center" wrapText="1"/>
    </xf>
    <xf numFmtId="3" fontId="12" fillId="0" borderId="40" xfId="0" applyNumberFormat="1" applyFont="1" applyBorder="1" applyAlignment="1">
      <alignment horizontal="left" vertical="center"/>
    </xf>
    <xf numFmtId="3" fontId="13" fillId="51" borderId="36" xfId="0" applyNumberFormat="1" applyFont="1" applyFill="1" applyBorder="1" applyAlignment="1">
      <alignment vertical="center"/>
    </xf>
    <xf numFmtId="3" fontId="12" fillId="0" borderId="28" xfId="0" applyNumberFormat="1" applyFont="1" applyBorder="1" applyAlignment="1">
      <alignment vertical="center"/>
    </xf>
    <xf numFmtId="3" fontId="13" fillId="0" borderId="21" xfId="136" applyNumberFormat="1" applyFont="1" applyBorder="1" applyAlignment="1">
      <alignment horizontal="right" vertical="center"/>
    </xf>
    <xf numFmtId="3" fontId="13" fillId="0" borderId="27" xfId="0" applyNumberFormat="1" applyFont="1" applyBorder="1" applyAlignment="1">
      <alignment vertical="center"/>
    </xf>
    <xf numFmtId="3" fontId="13" fillId="0" borderId="28" xfId="0" applyNumberFormat="1" applyFont="1" applyBorder="1" applyAlignment="1">
      <alignment vertical="center"/>
    </xf>
    <xf numFmtId="3" fontId="13" fillId="0" borderId="45" xfId="0" applyNumberFormat="1" applyFont="1" applyBorder="1" applyAlignment="1">
      <alignment vertical="center"/>
    </xf>
    <xf numFmtId="1" fontId="14" fillId="0" borderId="36" xfId="0" applyNumberFormat="1" applyFont="1" applyBorder="1" applyAlignment="1">
      <alignment vertical="center"/>
    </xf>
    <xf numFmtId="49" fontId="13" fillId="0" borderId="36" xfId="0" applyNumberFormat="1" applyFont="1" applyBorder="1" applyAlignment="1">
      <alignment horizontal="right" vertical="center"/>
    </xf>
    <xf numFmtId="3" fontId="12" fillId="51" borderId="36" xfId="0" applyNumberFormat="1" applyFont="1" applyFill="1" applyBorder="1" applyAlignment="1">
      <alignment horizontal="center" vertical="center"/>
    </xf>
    <xf numFmtId="3" fontId="12" fillId="51" borderId="37" xfId="0" applyNumberFormat="1" applyFont="1" applyFill="1" applyBorder="1" applyAlignment="1">
      <alignment horizontal="center" vertical="center"/>
    </xf>
    <xf numFmtId="3" fontId="12" fillId="51" borderId="40" xfId="0" applyNumberFormat="1" applyFont="1" applyFill="1" applyBorder="1" applyAlignment="1">
      <alignment vertical="center"/>
    </xf>
    <xf numFmtId="3" fontId="12" fillId="51" borderId="36" xfId="0" applyNumberFormat="1" applyFont="1" applyFill="1" applyBorder="1" applyAlignment="1">
      <alignment vertical="center"/>
    </xf>
    <xf numFmtId="3" fontId="13" fillId="51" borderId="36" xfId="0" applyNumberFormat="1" applyFont="1" applyFill="1" applyBorder="1" applyAlignment="1">
      <alignment horizontal="right" vertical="center"/>
    </xf>
    <xf numFmtId="3" fontId="12" fillId="51" borderId="40" xfId="0" applyNumberFormat="1" applyFont="1" applyFill="1" applyBorder="1" applyAlignment="1">
      <alignment horizontal="center" vertical="center"/>
    </xf>
    <xf numFmtId="3" fontId="12" fillId="46" borderId="36" xfId="0" applyNumberFormat="1" applyFont="1" applyFill="1" applyBorder="1" applyAlignment="1">
      <alignment horizontal="right" vertical="center"/>
    </xf>
    <xf numFmtId="3" fontId="13" fillId="51" borderId="36" xfId="136" applyNumberFormat="1" applyFont="1" applyFill="1" applyBorder="1" applyAlignment="1">
      <alignment horizontal="right" vertical="top" wrapText="1"/>
    </xf>
    <xf numFmtId="3" fontId="13" fillId="51" borderId="36" xfId="136" applyNumberFormat="1" applyFont="1" applyFill="1" applyBorder="1" applyAlignment="1">
      <alignment vertical="top" wrapText="1"/>
    </xf>
    <xf numFmtId="3" fontId="12" fillId="46" borderId="40" xfId="0" applyNumberFormat="1" applyFont="1" applyFill="1" applyBorder="1" applyAlignment="1">
      <alignment horizontal="center" vertical="center"/>
    </xf>
    <xf numFmtId="3" fontId="12" fillId="46" borderId="36" xfId="136" applyNumberFormat="1" applyFont="1" applyFill="1" applyBorder="1" applyAlignment="1">
      <alignment horizontal="right" vertical="center"/>
    </xf>
    <xf numFmtId="3" fontId="12" fillId="46" borderId="39" xfId="0" applyNumberFormat="1" applyFont="1" applyFill="1" applyBorder="1" applyAlignment="1">
      <alignment vertical="center"/>
    </xf>
    <xf numFmtId="3" fontId="13" fillId="0" borderId="40" xfId="0" applyNumberFormat="1" applyFont="1" applyBorder="1" applyAlignment="1">
      <alignment horizontal="center" vertical="center"/>
    </xf>
    <xf numFmtId="3" fontId="13" fillId="0" borderId="36" xfId="133" applyNumberFormat="1" applyFont="1" applyBorder="1" applyAlignment="1">
      <alignment horizontal="right" vertical="center"/>
    </xf>
    <xf numFmtId="3" fontId="12" fillId="46" borderId="28" xfId="0" applyNumberFormat="1" applyFont="1" applyFill="1" applyBorder="1" applyAlignment="1">
      <alignment horizontal="center" vertical="center"/>
    </xf>
    <xf numFmtId="3" fontId="87" fillId="0" borderId="0" xfId="0" applyNumberFormat="1" applyFont="1" applyAlignment="1">
      <alignment vertical="center"/>
    </xf>
    <xf numFmtId="3" fontId="88" fillId="0" borderId="0" xfId="0" applyNumberFormat="1" applyFont="1" applyAlignment="1">
      <alignment vertical="center"/>
    </xf>
    <xf numFmtId="3" fontId="13" fillId="0" borderId="36" xfId="0" applyNumberFormat="1" applyFont="1" applyFill="1" applyBorder="1" applyAlignment="1">
      <alignment vertical="center"/>
    </xf>
    <xf numFmtId="3" fontId="13" fillId="0" borderId="21" xfId="0" applyNumberFormat="1" applyFont="1" applyFill="1" applyBorder="1" applyAlignment="1">
      <alignment horizontal="right" vertical="center"/>
    </xf>
    <xf numFmtId="3" fontId="12" fillId="49" borderId="21" xfId="0" applyNumberFormat="1" applyFont="1" applyFill="1" applyBorder="1" applyAlignment="1">
      <alignment vertical="center"/>
    </xf>
    <xf numFmtId="3" fontId="12" fillId="50" borderId="36" xfId="151" applyNumberFormat="1" applyFont="1" applyFill="1" applyBorder="1" applyAlignment="1">
      <alignment horizontal="center" vertical="center" wrapText="1"/>
    </xf>
    <xf numFmtId="3" fontId="10" fillId="0" borderId="36" xfId="151" applyNumberFormat="1" applyFont="1" applyBorder="1" applyAlignment="1">
      <alignment horizontal="right" vertical="center"/>
    </xf>
    <xf numFmtId="3" fontId="80" fillId="0" borderId="36" xfId="151" applyNumberFormat="1" applyFont="1" applyBorder="1" applyAlignment="1">
      <alignment horizontal="right" vertical="center"/>
    </xf>
    <xf numFmtId="3" fontId="11" fillId="50" borderId="36" xfId="151" applyNumberFormat="1" applyFont="1" applyFill="1" applyBorder="1" applyAlignment="1">
      <alignment horizontal="right" vertical="center"/>
    </xf>
    <xf numFmtId="3" fontId="10" fillId="0" borderId="36" xfId="134" applyNumberFormat="1" applyFont="1" applyBorder="1" applyAlignment="1">
      <alignment vertical="center"/>
    </xf>
    <xf numFmtId="0" fontId="13" fillId="0" borderId="37" xfId="129" applyFont="1" applyBorder="1" applyAlignment="1">
      <alignment vertical="center" wrapText="1"/>
    </xf>
    <xf numFmtId="0" fontId="13" fillId="0" borderId="37" xfId="0" applyFont="1" applyBorder="1" applyAlignment="1">
      <alignment horizontal="left" vertical="center" wrapText="1"/>
    </xf>
    <xf numFmtId="3" fontId="14" fillId="0" borderId="36" xfId="0" applyNumberFormat="1" applyFont="1" applyBorder="1" applyAlignment="1">
      <alignment vertical="center"/>
    </xf>
    <xf numFmtId="3" fontId="86" fillId="0" borderId="40" xfId="0" applyNumberFormat="1" applyFont="1" applyBorder="1" applyAlignment="1">
      <alignment vertical="center"/>
    </xf>
    <xf numFmtId="0" fontId="13" fillId="0" borderId="37" xfId="161" applyFont="1" applyBorder="1" applyAlignment="1">
      <alignment horizontal="center" vertical="center" wrapText="1"/>
    </xf>
    <xf numFmtId="0" fontId="13" fillId="48" borderId="37" xfId="161" applyFont="1" applyFill="1" applyBorder="1" applyAlignment="1">
      <alignment horizontal="center" vertical="center" wrapText="1"/>
    </xf>
    <xf numFmtId="0" fontId="13" fillId="48" borderId="37" xfId="161" applyFont="1" applyFill="1" applyBorder="1" applyAlignment="1">
      <alignment horizontal="center" vertical="top" wrapText="1"/>
    </xf>
    <xf numFmtId="3" fontId="14" fillId="0" borderId="53" xfId="0" applyNumberFormat="1" applyFont="1" applyBorder="1" applyAlignment="1">
      <alignment horizontal="center" vertical="center"/>
    </xf>
    <xf numFmtId="3" fontId="13" fillId="0" borderId="53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horizontal="center" vertical="center"/>
    </xf>
    <xf numFmtId="3" fontId="13" fillId="0" borderId="0" xfId="0" applyNumberFormat="1" applyFont="1" applyAlignment="1">
      <alignment vertical="center"/>
    </xf>
    <xf numFmtId="3" fontId="12" fillId="46" borderId="58" xfId="136" applyNumberFormat="1" applyFont="1" applyFill="1" applyBorder="1" applyAlignment="1">
      <alignment horizontal="center" vertical="center" wrapText="1"/>
    </xf>
    <xf numFmtId="0" fontId="7" fillId="0" borderId="0" xfId="154" applyAlignment="1">
      <alignment horizontal="center"/>
    </xf>
    <xf numFmtId="0" fontId="11" fillId="0" borderId="27" xfId="134" applyFont="1" applyBorder="1" applyAlignment="1">
      <alignment vertical="center"/>
    </xf>
    <xf numFmtId="0" fontId="11" fillId="0" borderId="21" xfId="134" applyFont="1" applyBorder="1" applyAlignment="1">
      <alignment horizontal="center" vertical="center"/>
    </xf>
    <xf numFmtId="0" fontId="10" fillId="0" borderId="21" xfId="134" applyFont="1" applyBorder="1" applyAlignment="1">
      <alignment vertical="center"/>
    </xf>
    <xf numFmtId="0" fontId="11" fillId="0" borderId="34" xfId="134" applyFont="1" applyBorder="1" applyAlignment="1">
      <alignment vertical="center"/>
    </xf>
    <xf numFmtId="0" fontId="10" fillId="0" borderId="33" xfId="134" applyFont="1" applyBorder="1" applyAlignment="1">
      <alignment vertical="center"/>
    </xf>
    <xf numFmtId="0" fontId="10" fillId="0" borderId="34" xfId="127" applyFont="1" applyBorder="1" applyAlignment="1">
      <alignment vertical="center"/>
    </xf>
    <xf numFmtId="0" fontId="10" fillId="0" borderId="33" xfId="127" applyFont="1" applyBorder="1" applyAlignment="1">
      <alignment horizontal="center" vertical="center"/>
    </xf>
    <xf numFmtId="3" fontId="11" fillId="0" borderId="33" xfId="0" applyNumberFormat="1" applyFont="1" applyBorder="1" applyAlignment="1">
      <alignment vertical="center"/>
    </xf>
    <xf numFmtId="3" fontId="10" fillId="0" borderId="33" xfId="134" applyNumberFormat="1" applyFont="1" applyBorder="1" applyAlignment="1">
      <alignment vertical="center"/>
    </xf>
    <xf numFmtId="0" fontId="10" fillId="0" borderId="34" xfId="134" applyFont="1" applyBorder="1" applyAlignment="1">
      <alignment vertical="center" wrapText="1"/>
    </xf>
    <xf numFmtId="0" fontId="10" fillId="0" borderId="33" xfId="134" applyFont="1" applyBorder="1" applyAlignment="1">
      <alignment horizontal="center" vertical="center" wrapText="1"/>
    </xf>
    <xf numFmtId="0" fontId="10" fillId="0" borderId="34" xfId="134" applyFont="1" applyBorder="1" applyAlignment="1">
      <alignment vertical="center"/>
    </xf>
    <xf numFmtId="166" fontId="10" fillId="0" borderId="33" xfId="84" applyNumberFormat="1" applyFont="1" applyBorder="1" applyAlignment="1">
      <alignment horizontal="center" vertical="center"/>
    </xf>
    <xf numFmtId="3" fontId="11" fillId="46" borderId="34" xfId="0" applyNumberFormat="1" applyFont="1" applyFill="1" applyBorder="1" applyAlignment="1">
      <alignment vertical="center"/>
    </xf>
    <xf numFmtId="3" fontId="11" fillId="46" borderId="33" xfId="134" applyNumberFormat="1" applyFont="1" applyFill="1" applyBorder="1" applyAlignment="1">
      <alignment vertical="center"/>
    </xf>
    <xf numFmtId="3" fontId="11" fillId="0" borderId="33" xfId="134" applyNumberFormat="1" applyFont="1" applyBorder="1" applyAlignment="1">
      <alignment vertical="center"/>
    </xf>
    <xf numFmtId="0" fontId="10" fillId="0" borderId="33" xfId="84" applyNumberFormat="1" applyFont="1" applyBorder="1" applyAlignment="1">
      <alignment horizontal="center" vertical="center"/>
    </xf>
    <xf numFmtId="0" fontId="10" fillId="0" borderId="34" xfId="156" applyFont="1" applyBorder="1" applyAlignment="1">
      <alignment vertical="center" wrapText="1"/>
    </xf>
    <xf numFmtId="0" fontId="10" fillId="0" borderId="34" xfId="155" applyFont="1" applyBorder="1" applyAlignment="1">
      <alignment vertical="center" wrapText="1"/>
    </xf>
    <xf numFmtId="0" fontId="89" fillId="0" borderId="33" xfId="134" applyFont="1" applyBorder="1" applyAlignment="1">
      <alignment vertical="center" wrapText="1"/>
    </xf>
    <xf numFmtId="3" fontId="10" fillId="0" borderId="34" xfId="0" applyNumberFormat="1" applyFont="1" applyBorder="1" applyAlignment="1">
      <alignment horizontal="left" vertical="center" wrapText="1"/>
    </xf>
    <xf numFmtId="3" fontId="11" fillId="46" borderId="33" xfId="0" applyNumberFormat="1" applyFont="1" applyFill="1" applyBorder="1" applyAlignment="1">
      <alignment horizontal="center" vertical="center"/>
    </xf>
    <xf numFmtId="3" fontId="11" fillId="0" borderId="33" xfId="0" applyNumberFormat="1" applyFont="1" applyBorder="1" applyAlignment="1">
      <alignment horizontal="center" vertical="center"/>
    </xf>
    <xf numFmtId="3" fontId="11" fillId="0" borderId="34" xfId="0" applyNumberFormat="1" applyFont="1" applyBorder="1" applyAlignment="1">
      <alignment vertical="center"/>
    </xf>
    <xf numFmtId="3" fontId="10" fillId="0" borderId="34" xfId="0" applyNumberFormat="1" applyFont="1" applyBorder="1" applyAlignment="1">
      <alignment vertical="center" wrapText="1"/>
    </xf>
    <xf numFmtId="0" fontId="10" fillId="0" borderId="53" xfId="158" applyFont="1" applyBorder="1" applyAlignment="1">
      <alignment vertical="center" wrapText="1"/>
    </xf>
    <xf numFmtId="3" fontId="10" fillId="0" borderId="36" xfId="0" applyNumberFormat="1" applyFont="1" applyBorder="1" applyAlignment="1">
      <alignment horizontal="center" vertical="center"/>
    </xf>
    <xf numFmtId="0" fontId="10" fillId="0" borderId="34" xfId="129" applyFont="1" applyBorder="1" applyAlignment="1">
      <alignment vertical="center" wrapText="1"/>
    </xf>
    <xf numFmtId="0" fontId="10" fillId="0" borderId="34" xfId="0" applyFont="1" applyBorder="1" applyAlignment="1">
      <alignment horizontal="left" vertical="center" wrapText="1"/>
    </xf>
    <xf numFmtId="3" fontId="10" fillId="0" borderId="36" xfId="129" applyNumberFormat="1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vertical="center" wrapText="1"/>
    </xf>
    <xf numFmtId="0" fontId="10" fillId="0" borderId="21" xfId="129" applyFont="1" applyBorder="1" applyAlignment="1">
      <alignment horizontal="center" vertical="center" wrapText="1"/>
    </xf>
    <xf numFmtId="0" fontId="10" fillId="0" borderId="36" xfId="129" applyFont="1" applyBorder="1" applyAlignment="1">
      <alignment horizontal="center" vertical="center" wrapText="1"/>
    </xf>
    <xf numFmtId="0" fontId="11" fillId="46" borderId="37" xfId="134" applyFont="1" applyFill="1" applyBorder="1" applyAlignment="1">
      <alignment vertical="center"/>
    </xf>
    <xf numFmtId="3" fontId="11" fillId="46" borderId="36" xfId="134" applyNumberFormat="1" applyFont="1" applyFill="1" applyBorder="1" applyAlignment="1">
      <alignment vertical="center"/>
    </xf>
    <xf numFmtId="0" fontId="11" fillId="0" borderId="37" xfId="134" applyFont="1" applyBorder="1" applyAlignment="1">
      <alignment vertical="center"/>
    </xf>
    <xf numFmtId="3" fontId="10" fillId="0" borderId="36" xfId="0" applyNumberFormat="1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horizontal="center" vertical="center"/>
    </xf>
    <xf numFmtId="0" fontId="10" fillId="0" borderId="37" xfId="134" applyFont="1" applyBorder="1" applyAlignment="1">
      <alignment vertical="center" wrapText="1"/>
    </xf>
    <xf numFmtId="0" fontId="10" fillId="0" borderId="36" xfId="134" applyFont="1" applyBorder="1" applyAlignment="1">
      <alignment horizontal="center" vertical="center" wrapText="1"/>
    </xf>
    <xf numFmtId="0" fontId="10" fillId="0" borderId="37" xfId="154" applyFont="1" applyBorder="1" applyAlignment="1">
      <alignment vertical="center"/>
    </xf>
    <xf numFmtId="3" fontId="10" fillId="0" borderId="36" xfId="154" applyNumberFormat="1" applyFont="1" applyBorder="1" applyAlignment="1">
      <alignment horizontal="center" vertical="center"/>
    </xf>
    <xf numFmtId="0" fontId="10" fillId="0" borderId="36" xfId="134" applyFont="1" applyBorder="1" applyAlignment="1">
      <alignment vertical="center" wrapText="1"/>
    </xf>
    <xf numFmtId="0" fontId="10" fillId="0" borderId="27" xfId="134" applyFont="1" applyBorder="1" applyAlignment="1">
      <alignment vertical="center"/>
    </xf>
    <xf numFmtId="0" fontId="10" fillId="0" borderId="27" xfId="134" applyFont="1" applyBorder="1" applyAlignment="1">
      <alignment vertical="center" wrapText="1"/>
    </xf>
    <xf numFmtId="0" fontId="10" fillId="0" borderId="37" xfId="154" applyFont="1" applyBorder="1" applyAlignment="1">
      <alignment vertical="center" wrapText="1"/>
    </xf>
    <xf numFmtId="0" fontId="10" fillId="0" borderId="36" xfId="154" applyFont="1" applyBorder="1" applyAlignment="1">
      <alignment horizontal="center" vertical="center" wrapText="1"/>
    </xf>
    <xf numFmtId="3" fontId="10" fillId="0" borderId="36" xfId="134" applyNumberFormat="1" applyFont="1" applyBorder="1" applyAlignment="1">
      <alignment horizontal="center" vertical="center" wrapText="1"/>
    </xf>
    <xf numFmtId="3" fontId="11" fillId="0" borderId="36" xfId="134" applyNumberFormat="1" applyFont="1" applyBorder="1" applyAlignment="1">
      <alignment vertical="center"/>
    </xf>
    <xf numFmtId="3" fontId="11" fillId="46" borderId="36" xfId="134" applyNumberFormat="1" applyFont="1" applyFill="1" applyBorder="1" applyAlignment="1">
      <alignment vertical="center" wrapText="1"/>
    </xf>
    <xf numFmtId="0" fontId="11" fillId="46" borderId="36" xfId="127" applyFont="1" applyFill="1" applyBorder="1" applyAlignment="1">
      <alignment horizontal="center" vertical="center" wrapText="1"/>
    </xf>
    <xf numFmtId="0" fontId="10" fillId="0" borderId="54" xfId="127" applyFont="1" applyBorder="1" applyAlignment="1">
      <alignment vertical="center"/>
    </xf>
    <xf numFmtId="0" fontId="10" fillId="0" borderId="36" xfId="127" applyFont="1" applyBorder="1" applyAlignment="1">
      <alignment horizontal="center" vertical="center"/>
    </xf>
    <xf numFmtId="0" fontId="11" fillId="46" borderId="36" xfId="134" applyFont="1" applyFill="1" applyBorder="1" applyAlignment="1">
      <alignment vertical="center"/>
    </xf>
    <xf numFmtId="3" fontId="12" fillId="0" borderId="52" xfId="136" applyNumberFormat="1" applyFont="1" applyBorder="1" applyAlignment="1">
      <alignment vertical="center"/>
    </xf>
    <xf numFmtId="3" fontId="13" fillId="0" borderId="53" xfId="136" applyNumberFormat="1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3" fontId="14" fillId="0" borderId="52" xfId="0" applyNumberFormat="1" applyFont="1" applyBorder="1" applyAlignment="1">
      <alignment horizontal="center" vertical="center"/>
    </xf>
    <xf numFmtId="3" fontId="13" fillId="0" borderId="53" xfId="0" applyNumberFormat="1" applyFont="1" applyBorder="1" applyAlignment="1">
      <alignment horizontal="left" vertical="center" wrapText="1"/>
    </xf>
    <xf numFmtId="49" fontId="13" fillId="0" borderId="53" xfId="0" applyNumberFormat="1" applyFont="1" applyBorder="1" applyAlignment="1">
      <alignment horizontal="left" vertical="center" wrapText="1"/>
    </xf>
    <xf numFmtId="3" fontId="13" fillId="0" borderId="56" xfId="0" applyNumberFormat="1" applyFont="1" applyBorder="1" applyAlignment="1">
      <alignment horizontal="left" vertical="center" wrapText="1"/>
    </xf>
    <xf numFmtId="3" fontId="13" fillId="0" borderId="54" xfId="0" applyNumberFormat="1" applyFont="1" applyBorder="1" applyAlignment="1">
      <alignment horizontal="center" vertical="center"/>
    </xf>
    <xf numFmtId="3" fontId="13" fillId="0" borderId="54" xfId="0" applyNumberFormat="1" applyFont="1" applyBorder="1" applyAlignment="1">
      <alignment vertical="center"/>
    </xf>
    <xf numFmtId="3" fontId="13" fillId="0" borderId="56" xfId="0" applyNumberFormat="1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36" xfId="0" applyFont="1" applyBorder="1" applyAlignment="1">
      <alignment vertical="center"/>
    </xf>
    <xf numFmtId="3" fontId="13" fillId="0" borderId="37" xfId="129" applyNumberFormat="1" applyFont="1" applyBorder="1" applyAlignment="1">
      <alignment vertical="center" wrapText="1"/>
    </xf>
    <xf numFmtId="0" fontId="13" fillId="0" borderId="37" xfId="0" applyFont="1" applyBorder="1" applyAlignment="1">
      <alignment horizontal="left" wrapText="1"/>
    </xf>
    <xf numFmtId="0" fontId="13" fillId="0" borderId="36" xfId="0" applyFont="1" applyBorder="1" applyAlignment="1">
      <alignment wrapText="1"/>
    </xf>
    <xf numFmtId="3" fontId="13" fillId="0" borderId="53" xfId="0" applyNumberFormat="1" applyFont="1" applyBorder="1" applyAlignment="1">
      <alignment vertical="center"/>
    </xf>
    <xf numFmtId="49" fontId="13" fillId="0" borderId="53" xfId="0" applyNumberFormat="1" applyFont="1" applyBorder="1" applyAlignment="1">
      <alignment vertical="center"/>
    </xf>
    <xf numFmtId="3" fontId="12" fillId="0" borderId="54" xfId="0" applyNumberFormat="1" applyFont="1" applyBorder="1" applyAlignment="1">
      <alignment horizontal="center" vertical="center"/>
    </xf>
    <xf numFmtId="49" fontId="12" fillId="0" borderId="56" xfId="164" applyNumberFormat="1" applyFont="1" applyBorder="1" applyAlignment="1">
      <alignment horizontal="left" vertical="center" wrapText="1"/>
    </xf>
    <xf numFmtId="0" fontId="13" fillId="0" borderId="53" xfId="165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3" fontId="12" fillId="0" borderId="37" xfId="157" applyNumberFormat="1" applyFont="1" applyBorder="1" applyAlignment="1">
      <alignment vertical="center" wrapText="1"/>
    </xf>
    <xf numFmtId="0" fontId="13" fillId="0" borderId="37" xfId="0" applyFont="1" applyBorder="1" applyAlignment="1">
      <alignment vertical="center" wrapText="1"/>
    </xf>
    <xf numFmtId="3" fontId="13" fillId="0" borderId="37" xfId="157" applyNumberFormat="1" applyFont="1" applyBorder="1" applyAlignment="1">
      <alignment vertical="center" wrapText="1"/>
    </xf>
    <xf numFmtId="3" fontId="78" fillId="0" borderId="30" xfId="0" applyNumberFormat="1" applyFont="1" applyBorder="1" applyAlignment="1">
      <alignment horizontal="center" vertical="center"/>
    </xf>
    <xf numFmtId="49" fontId="12" fillId="0" borderId="37" xfId="157" applyNumberFormat="1" applyFont="1" applyBorder="1" applyAlignment="1">
      <alignment horizontal="center" vertical="center" wrapText="1"/>
    </xf>
    <xf numFmtId="49" fontId="13" fillId="0" borderId="37" xfId="157" applyNumberFormat="1" applyFont="1" applyBorder="1" applyAlignment="1">
      <alignment horizontal="left" vertical="center" wrapText="1"/>
    </xf>
    <xf numFmtId="3" fontId="13" fillId="0" borderId="52" xfId="0" applyNumberFormat="1" applyFont="1" applyBorder="1" applyAlignment="1">
      <alignment vertical="center"/>
    </xf>
    <xf numFmtId="3" fontId="12" fillId="0" borderId="53" xfId="0" applyNumberFormat="1" applyFont="1" applyBorder="1" applyAlignment="1">
      <alignment horizontal="center" vertical="center"/>
    </xf>
    <xf numFmtId="0" fontId="13" fillId="0" borderId="53" xfId="158" applyFont="1" applyBorder="1" applyAlignment="1">
      <alignment vertical="center" wrapText="1"/>
    </xf>
    <xf numFmtId="49" fontId="13" fillId="0" borderId="37" xfId="0" applyNumberFormat="1" applyFont="1" applyBorder="1" applyAlignment="1">
      <alignment vertical="center"/>
    </xf>
    <xf numFmtId="0" fontId="13" fillId="0" borderId="27" xfId="0" applyFont="1" applyBorder="1" applyAlignment="1">
      <alignment horizontal="left" vertical="center" wrapText="1"/>
    </xf>
    <xf numFmtId="3" fontId="13" fillId="0" borderId="30" xfId="0" applyNumberFormat="1" applyFont="1" applyBorder="1" applyAlignment="1">
      <alignment horizontal="left" vertical="center"/>
    </xf>
    <xf numFmtId="3" fontId="13" fillId="0" borderId="53" xfId="0" applyNumberFormat="1" applyFont="1" applyBorder="1" applyAlignment="1">
      <alignment horizontal="left" vertical="center"/>
    </xf>
    <xf numFmtId="49" fontId="13" fillId="0" borderId="53" xfId="0" applyNumberFormat="1" applyFont="1" applyBorder="1" applyAlignment="1">
      <alignment vertical="center" wrapText="1"/>
    </xf>
    <xf numFmtId="0" fontId="13" fillId="0" borderId="38" xfId="0" applyFont="1" applyBorder="1" applyAlignment="1">
      <alignment vertical="center" wrapText="1"/>
    </xf>
    <xf numFmtId="3" fontId="13" fillId="0" borderId="55" xfId="0" applyNumberFormat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49" fontId="13" fillId="0" borderId="37" xfId="167" applyNumberFormat="1" applyFont="1" applyBorder="1" applyAlignment="1">
      <alignment horizontal="left" vertical="center" wrapText="1"/>
    </xf>
    <xf numFmtId="3" fontId="13" fillId="0" borderId="56" xfId="0" applyNumberFormat="1" applyFont="1" applyBorder="1" applyAlignment="1">
      <alignment horizontal="left" vertical="center"/>
    </xf>
    <xf numFmtId="3" fontId="13" fillId="0" borderId="36" xfId="0" applyNumberFormat="1" applyFont="1" applyBorder="1" applyAlignment="1">
      <alignment horizontal="left" vertical="center"/>
    </xf>
    <xf numFmtId="49" fontId="13" fillId="0" borderId="53" xfId="0" applyNumberFormat="1" applyFont="1" applyBorder="1" applyAlignment="1">
      <alignment horizontal="left" vertical="center"/>
    </xf>
    <xf numFmtId="3" fontId="12" fillId="46" borderId="37" xfId="0" applyNumberFormat="1" applyFont="1" applyFill="1" applyBorder="1" applyAlignment="1">
      <alignment horizontal="left" vertical="center"/>
    </xf>
    <xf numFmtId="0" fontId="12" fillId="0" borderId="56" xfId="166" applyFont="1" applyBorder="1" applyAlignment="1">
      <alignment horizontal="center" vertical="center"/>
    </xf>
    <xf numFmtId="3" fontId="13" fillId="48" borderId="47" xfId="0" applyNumberFormat="1" applyFont="1" applyFill="1" applyBorder="1" applyAlignment="1">
      <alignment horizontal="center" vertical="center"/>
    </xf>
    <xf numFmtId="0" fontId="13" fillId="0" borderId="53" xfId="166" applyFont="1" applyBorder="1" applyAlignment="1">
      <alignment vertical="center"/>
    </xf>
    <xf numFmtId="0" fontId="12" fillId="0" borderId="37" xfId="161" applyFont="1" applyBorder="1" applyAlignment="1">
      <alignment horizontal="center" vertical="center"/>
    </xf>
    <xf numFmtId="0" fontId="12" fillId="0" borderId="56" xfId="131" applyFont="1" applyBorder="1" applyAlignment="1">
      <alignment horizontal="center" vertical="top" wrapText="1"/>
    </xf>
    <xf numFmtId="3" fontId="12" fillId="48" borderId="36" xfId="0" applyNumberFormat="1" applyFont="1" applyFill="1" applyBorder="1" applyAlignment="1">
      <alignment horizontal="center" vertical="center"/>
    </xf>
    <xf numFmtId="0" fontId="13" fillId="0" borderId="37" xfId="131" applyFont="1" applyBorder="1" applyAlignment="1">
      <alignment horizontal="left" vertical="center" wrapText="1"/>
    </xf>
    <xf numFmtId="3" fontId="12" fillId="48" borderId="21" xfId="0" applyNumberFormat="1" applyFont="1" applyFill="1" applyBorder="1" applyAlignment="1">
      <alignment horizontal="center" vertical="center"/>
    </xf>
    <xf numFmtId="49" fontId="13" fillId="0" borderId="61" xfId="168" applyNumberFormat="1" applyFont="1" applyBorder="1" applyAlignment="1">
      <alignment horizontal="left" vertical="center" wrapText="1"/>
    </xf>
    <xf numFmtId="3" fontId="12" fillId="48" borderId="46" xfId="0" applyNumberFormat="1" applyFont="1" applyFill="1" applyBorder="1" applyAlignment="1">
      <alignment horizontal="center" vertical="center"/>
    </xf>
    <xf numFmtId="3" fontId="12" fillId="0" borderId="30" xfId="0" applyNumberFormat="1" applyFont="1" applyBorder="1" applyAlignment="1">
      <alignment horizontal="center" vertical="center"/>
    </xf>
    <xf numFmtId="0" fontId="85" fillId="0" borderId="37" xfId="0" applyFont="1" applyBorder="1" applyAlignment="1">
      <alignment vertical="center" wrapText="1"/>
    </xf>
    <xf numFmtId="0" fontId="13" fillId="0" borderId="37" xfId="0" applyFont="1" applyBorder="1" applyAlignment="1">
      <alignment vertical="center"/>
    </xf>
    <xf numFmtId="0" fontId="83" fillId="0" borderId="40" xfId="0" applyFont="1" applyBorder="1"/>
    <xf numFmtId="0" fontId="12" fillId="48" borderId="36" xfId="161" applyFont="1" applyFill="1" applyBorder="1" applyAlignment="1">
      <alignment horizontal="center" vertical="top" wrapText="1"/>
    </xf>
    <xf numFmtId="3" fontId="12" fillId="0" borderId="0" xfId="0" applyNumberFormat="1" applyFont="1" applyAlignment="1">
      <alignment horizontal="center" vertical="center"/>
    </xf>
    <xf numFmtId="0" fontId="13" fillId="0" borderId="62" xfId="0" applyFont="1" applyBorder="1" applyAlignment="1">
      <alignment horizontal="left" vertical="center" wrapText="1"/>
    </xf>
    <xf numFmtId="3" fontId="12" fillId="48" borderId="53" xfId="0" applyNumberFormat="1" applyFont="1" applyFill="1" applyBorder="1" applyAlignment="1">
      <alignment horizontal="center" vertical="center"/>
    </xf>
    <xf numFmtId="3" fontId="13" fillId="0" borderId="62" xfId="0" applyNumberFormat="1" applyFont="1" applyBorder="1" applyAlignment="1">
      <alignment horizontal="left" vertical="center" wrapText="1"/>
    </xf>
    <xf numFmtId="3" fontId="13" fillId="0" borderId="49" xfId="0" applyNumberFormat="1" applyFont="1" applyBorder="1" applyAlignment="1">
      <alignment horizontal="left" vertical="center" wrapText="1"/>
    </xf>
    <xf numFmtId="0" fontId="12" fillId="0" borderId="36" xfId="161" applyFont="1" applyBorder="1" applyAlignment="1">
      <alignment horizontal="center" vertical="center"/>
    </xf>
    <xf numFmtId="0" fontId="12" fillId="0" borderId="37" xfId="166" applyFont="1" applyBorder="1" applyAlignment="1">
      <alignment horizontal="center" vertical="center"/>
    </xf>
    <xf numFmtId="0" fontId="13" fillId="0" borderId="37" xfId="161" applyFont="1" applyBorder="1" applyAlignment="1">
      <alignment horizontal="center" vertical="center"/>
    </xf>
    <xf numFmtId="0" fontId="13" fillId="0" borderId="37" xfId="166" applyFont="1" applyBorder="1" applyAlignment="1">
      <alignment vertical="center"/>
    </xf>
    <xf numFmtId="0" fontId="12" fillId="48" borderId="37" xfId="161" applyFont="1" applyFill="1" applyBorder="1" applyAlignment="1">
      <alignment horizontal="center" vertical="top" wrapText="1"/>
    </xf>
    <xf numFmtId="0" fontId="13" fillId="0" borderId="37" xfId="158" applyFont="1" applyBorder="1" applyAlignment="1">
      <alignment vertical="center" wrapText="1"/>
    </xf>
    <xf numFmtId="0" fontId="13" fillId="0" borderId="37" xfId="161" applyFont="1" applyBorder="1" applyAlignment="1">
      <alignment vertical="center"/>
    </xf>
    <xf numFmtId="0" fontId="12" fillId="48" borderId="37" xfId="161" applyFont="1" applyFill="1" applyBorder="1" applyAlignment="1">
      <alignment horizontal="center" vertical="center" wrapText="1"/>
    </xf>
    <xf numFmtId="0" fontId="12" fillId="0" borderId="37" xfId="161" applyFont="1" applyBorder="1" applyAlignment="1">
      <alignment vertical="center"/>
    </xf>
    <xf numFmtId="0" fontId="14" fillId="0" borderId="37" xfId="129" applyFont="1" applyBorder="1" applyAlignment="1">
      <alignment vertical="center" wrapText="1"/>
    </xf>
    <xf numFmtId="3" fontId="13" fillId="0" borderId="27" xfId="0" applyNumberFormat="1" applyFont="1" applyBorder="1" applyAlignment="1">
      <alignment vertical="center" wrapText="1"/>
    </xf>
    <xf numFmtId="3" fontId="13" fillId="49" borderId="36" xfId="0" applyNumberFormat="1" applyFont="1" applyFill="1" applyBorder="1" applyAlignment="1">
      <alignment horizontal="center" vertical="center"/>
    </xf>
    <xf numFmtId="3" fontId="13" fillId="49" borderId="37" xfId="0" applyNumberFormat="1" applyFont="1" applyFill="1" applyBorder="1" applyAlignment="1">
      <alignment horizontal="center" vertical="center"/>
    </xf>
    <xf numFmtId="3" fontId="12" fillId="49" borderId="27" xfId="0" applyNumberFormat="1" applyFont="1" applyFill="1" applyBorder="1" applyAlignment="1">
      <alignment vertical="center"/>
    </xf>
    <xf numFmtId="3" fontId="13" fillId="49" borderId="28" xfId="0" applyNumberFormat="1" applyFont="1" applyFill="1" applyBorder="1" applyAlignment="1">
      <alignment vertical="center"/>
    </xf>
    <xf numFmtId="3" fontId="13" fillId="49" borderId="36" xfId="0" applyNumberFormat="1" applyFont="1" applyFill="1" applyBorder="1" applyAlignment="1">
      <alignment vertical="center"/>
    </xf>
    <xf numFmtId="3" fontId="12" fillId="49" borderId="36" xfId="136" applyNumberFormat="1" applyFont="1" applyFill="1" applyBorder="1" applyAlignment="1">
      <alignment horizontal="right" vertical="center"/>
    </xf>
    <xf numFmtId="0" fontId="13" fillId="0" borderId="37" xfId="134" applyFont="1" applyBorder="1" applyAlignment="1">
      <alignment vertical="center" wrapText="1"/>
    </xf>
    <xf numFmtId="3" fontId="13" fillId="0" borderId="36" xfId="134" applyNumberFormat="1" applyFont="1" applyBorder="1" applyAlignment="1">
      <alignment horizontal="center" vertical="center"/>
    </xf>
    <xf numFmtId="3" fontId="12" fillId="49" borderId="37" xfId="0" applyNumberFormat="1" applyFont="1" applyFill="1" applyBorder="1" applyAlignment="1">
      <alignment horizontal="center" vertical="center"/>
    </xf>
    <xf numFmtId="0" fontId="13" fillId="0" borderId="62" xfId="171" applyFont="1" applyBorder="1" applyAlignment="1">
      <alignment vertical="center" wrapText="1"/>
    </xf>
    <xf numFmtId="3" fontId="12" fillId="0" borderId="50" xfId="0" applyNumberFormat="1" applyFont="1" applyBorder="1" applyAlignment="1">
      <alignment vertical="center"/>
    </xf>
    <xf numFmtId="3" fontId="12" fillId="0" borderId="36" xfId="136" applyNumberFormat="1" applyFont="1" applyBorder="1" applyAlignment="1">
      <alignment horizontal="center" vertical="top" wrapText="1"/>
    </xf>
    <xf numFmtId="3" fontId="12" fillId="0" borderId="45" xfId="0" applyNumberFormat="1" applyFont="1" applyBorder="1" applyAlignment="1">
      <alignment vertical="center"/>
    </xf>
    <xf numFmtId="3" fontId="12" fillId="51" borderId="37" xfId="0" applyNumberFormat="1" applyFont="1" applyFill="1" applyBorder="1" applyAlignment="1">
      <alignment vertical="center"/>
    </xf>
    <xf numFmtId="3" fontId="13" fillId="0" borderId="53" xfId="0" applyNumberFormat="1" applyFont="1" applyBorder="1" applyAlignment="1">
      <alignment vertical="center" wrapText="1"/>
    </xf>
    <xf numFmtId="3" fontId="13" fillId="0" borderId="27" xfId="0" applyNumberFormat="1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3" fontId="12" fillId="51" borderId="52" xfId="0" applyNumberFormat="1" applyFont="1" applyFill="1" applyBorder="1" applyAlignment="1">
      <alignment horizontal="center" vertical="center"/>
    </xf>
    <xf numFmtId="3" fontId="12" fillId="51" borderId="36" xfId="136" applyNumberFormat="1" applyFont="1" applyFill="1" applyBorder="1" applyAlignment="1">
      <alignment horizontal="center" vertical="top" wrapText="1"/>
    </xf>
    <xf numFmtId="3" fontId="13" fillId="0" borderId="51" xfId="0" applyNumberFormat="1" applyFont="1" applyBorder="1" applyAlignment="1">
      <alignment vertical="center" wrapText="1"/>
    </xf>
    <xf numFmtId="0" fontId="13" fillId="0" borderId="53" xfId="172" applyFont="1" applyBorder="1" applyAlignment="1">
      <alignment vertical="center"/>
    </xf>
    <xf numFmtId="0" fontId="13" fillId="0" borderId="36" xfId="172" applyFont="1" applyBorder="1" applyAlignment="1">
      <alignment vertical="center" wrapText="1"/>
    </xf>
    <xf numFmtId="0" fontId="12" fillId="46" borderId="37" xfId="127" applyFont="1" applyFill="1" applyBorder="1" applyAlignment="1">
      <alignment vertical="center" wrapText="1"/>
    </xf>
    <xf numFmtId="0" fontId="13" fillId="46" borderId="44" xfId="0" applyFont="1" applyFill="1" applyBorder="1" applyAlignment="1">
      <alignment vertical="center"/>
    </xf>
    <xf numFmtId="0" fontId="13" fillId="46" borderId="44" xfId="0" applyFont="1" applyFill="1" applyBorder="1" applyAlignment="1">
      <alignment horizontal="center" vertical="center"/>
    </xf>
    <xf numFmtId="3" fontId="21" fillId="0" borderId="0" xfId="0" applyNumberFormat="1" applyFont="1" applyAlignment="1">
      <alignment vertical="center"/>
    </xf>
    <xf numFmtId="0" fontId="13" fillId="49" borderId="0" xfId="151" applyFont="1" applyFill="1" applyAlignment="1">
      <alignment vertical="center"/>
    </xf>
    <xf numFmtId="0" fontId="12" fillId="49" borderId="36" xfId="151" applyFont="1" applyFill="1" applyBorder="1" applyAlignment="1">
      <alignment horizontal="center" vertical="center"/>
    </xf>
    <xf numFmtId="0" fontId="14" fillId="0" borderId="36" xfId="151" applyFont="1" applyBorder="1" applyAlignment="1">
      <alignment horizontal="left" vertical="top"/>
    </xf>
    <xf numFmtId="3" fontId="13" fillId="0" borderId="36" xfId="151" applyNumberFormat="1" applyFont="1" applyBorder="1" applyAlignment="1">
      <alignment vertical="center"/>
    </xf>
    <xf numFmtId="0" fontId="13" fillId="0" borderId="36" xfId="151" applyFont="1" applyBorder="1" applyAlignment="1">
      <alignment vertical="center"/>
    </xf>
    <xf numFmtId="0" fontId="14" fillId="0" borderId="36" xfId="151" applyFont="1" applyBorder="1" applyAlignment="1">
      <alignment vertical="center"/>
    </xf>
    <xf numFmtId="4" fontId="10" fillId="0" borderId="36" xfId="151" applyNumberFormat="1" applyFont="1" applyBorder="1" applyAlignment="1">
      <alignment horizontal="right" vertical="center"/>
    </xf>
    <xf numFmtId="0" fontId="8" fillId="0" borderId="36" xfId="151" applyFont="1" applyBorder="1" applyAlignment="1">
      <alignment vertical="center"/>
    </xf>
    <xf numFmtId="3" fontId="10" fillId="0" borderId="36" xfId="151" applyNumberFormat="1" applyFont="1" applyBorder="1" applyAlignment="1">
      <alignment vertical="center"/>
    </xf>
    <xf numFmtId="165" fontId="10" fillId="0" borderId="36" xfId="151" applyNumberFormat="1" applyFont="1" applyBorder="1" applyAlignment="1">
      <alignment horizontal="right" vertical="center"/>
    </xf>
    <xf numFmtId="0" fontId="13" fillId="0" borderId="36" xfId="151" applyFont="1" applyBorder="1" applyAlignment="1">
      <alignment vertical="center" wrapText="1"/>
    </xf>
    <xf numFmtId="0" fontId="14" fillId="0" borderId="36" xfId="151" applyFont="1" applyBorder="1" applyAlignment="1">
      <alignment vertical="center" wrapText="1"/>
    </xf>
    <xf numFmtId="0" fontId="20" fillId="0" borderId="36" xfId="151" applyFont="1" applyBorder="1" applyAlignment="1">
      <alignment vertical="center"/>
    </xf>
    <xf numFmtId="0" fontId="12" fillId="0" borderId="36" xfId="151" applyFont="1" applyBorder="1" applyAlignment="1">
      <alignment vertical="center" wrapText="1"/>
    </xf>
    <xf numFmtId="0" fontId="12" fillId="9" borderId="36" xfId="151" applyFont="1" applyFill="1" applyBorder="1" applyAlignment="1">
      <alignment vertical="center"/>
    </xf>
    <xf numFmtId="0" fontId="8" fillId="0" borderId="0" xfId="151" applyFont="1" applyBorder="1" applyAlignment="1">
      <alignment vertical="center"/>
    </xf>
    <xf numFmtId="3" fontId="8" fillId="0" borderId="0" xfId="151" applyNumberFormat="1" applyFont="1" applyBorder="1" applyAlignment="1">
      <alignment vertical="center"/>
    </xf>
    <xf numFmtId="3" fontId="13" fillId="0" borderId="36" xfId="0" applyNumberFormat="1" applyFont="1" applyFill="1" applyBorder="1" applyAlignment="1">
      <alignment vertical="center" wrapText="1"/>
    </xf>
    <xf numFmtId="3" fontId="8" fillId="0" borderId="36" xfId="0" applyNumberFormat="1" applyFont="1" applyBorder="1" applyAlignment="1">
      <alignment vertical="center" wrapText="1"/>
    </xf>
    <xf numFmtId="3" fontId="8" fillId="0" borderId="36" xfId="0" applyNumberFormat="1" applyFont="1" applyBorder="1" applyAlignment="1">
      <alignment vertical="center"/>
    </xf>
    <xf numFmtId="0" fontId="4" fillId="46" borderId="33" xfId="0" applyFont="1" applyFill="1" applyBorder="1" applyAlignment="1">
      <alignment horizontal="center" vertical="center" wrapText="1"/>
    </xf>
    <xf numFmtId="3" fontId="80" fillId="0" borderId="33" xfId="134" applyNumberFormat="1" applyFont="1" applyBorder="1" applyAlignment="1">
      <alignment vertical="center"/>
    </xf>
    <xf numFmtId="3" fontId="11" fillId="46" borderId="36" xfId="0" applyNumberFormat="1" applyFont="1" applyFill="1" applyBorder="1" applyAlignment="1">
      <alignment horizontal="center" vertical="center"/>
    </xf>
    <xf numFmtId="3" fontId="80" fillId="0" borderId="36" xfId="134" applyNumberFormat="1" applyFont="1" applyBorder="1" applyAlignment="1">
      <alignment vertical="center"/>
    </xf>
    <xf numFmtId="49" fontId="10" fillId="0" borderId="36" xfId="134" applyNumberFormat="1" applyFont="1" applyBorder="1" applyAlignment="1">
      <alignment horizontal="center" vertical="center"/>
    </xf>
    <xf numFmtId="49" fontId="10" fillId="0" borderId="36" xfId="129" applyNumberFormat="1" applyFont="1" applyBorder="1" applyAlignment="1">
      <alignment horizontal="center" vertical="center" wrapText="1"/>
    </xf>
    <xf numFmtId="0" fontId="10" fillId="0" borderId="36" xfId="134" applyFont="1" applyBorder="1" applyAlignment="1">
      <alignment horizontal="left" vertical="center"/>
    </xf>
    <xf numFmtId="49" fontId="10" fillId="0" borderId="36" xfId="0" applyNumberFormat="1" applyFont="1" applyBorder="1" applyAlignment="1">
      <alignment horizontal="center" vertical="center" wrapText="1"/>
    </xf>
    <xf numFmtId="3" fontId="10" fillId="0" borderId="36" xfId="0" applyNumberFormat="1" applyFont="1" applyBorder="1" applyAlignment="1">
      <alignment vertical="center"/>
    </xf>
    <xf numFmtId="3" fontId="10" fillId="0" borderId="36" xfId="129" applyNumberFormat="1" applyFont="1" applyBorder="1" applyAlignment="1">
      <alignment horizontal="center" vertical="top" wrapText="1"/>
    </xf>
    <xf numFmtId="3" fontId="80" fillId="0" borderId="36" xfId="134" applyNumberFormat="1" applyFont="1" applyBorder="1" applyAlignment="1">
      <alignment vertical="center" wrapText="1"/>
    </xf>
    <xf numFmtId="166" fontId="13" fillId="0" borderId="0" xfId="84" applyNumberFormat="1" applyFont="1" applyAlignment="1">
      <alignment vertical="center"/>
    </xf>
    <xf numFmtId="0" fontId="13" fillId="0" borderId="36" xfId="84" applyNumberFormat="1" applyFont="1" applyFill="1" applyBorder="1" applyAlignment="1">
      <alignment horizontal="right" vertical="center"/>
    </xf>
    <xf numFmtId="3" fontId="13" fillId="0" borderId="40" xfId="0" applyNumberFormat="1" applyFont="1" applyBorder="1" applyAlignment="1">
      <alignment horizontal="right" vertical="center" wrapText="1"/>
    </xf>
    <xf numFmtId="49" fontId="13" fillId="0" borderId="36" xfId="167" applyNumberFormat="1" applyFont="1" applyBorder="1" applyAlignment="1">
      <alignment horizontal="left" vertical="center" wrapText="1"/>
    </xf>
    <xf numFmtId="3" fontId="13" fillId="0" borderId="56" xfId="168" applyNumberFormat="1" applyFont="1" applyBorder="1" applyAlignment="1">
      <alignment horizontal="left" vertical="center" wrapText="1"/>
    </xf>
    <xf numFmtId="3" fontId="10" fillId="0" borderId="36" xfId="168" applyNumberFormat="1" applyFont="1" applyBorder="1" applyAlignment="1">
      <alignment horizontal="left" vertical="center" wrapText="1"/>
    </xf>
    <xf numFmtId="3" fontId="10" fillId="0" borderId="37" xfId="168" applyNumberFormat="1" applyFont="1" applyBorder="1" applyAlignment="1">
      <alignment horizontal="left" vertical="center" wrapText="1"/>
    </xf>
    <xf numFmtId="0" fontId="13" fillId="0" borderId="36" xfId="171" applyFont="1" applyBorder="1" applyAlignment="1">
      <alignment vertical="center"/>
    </xf>
    <xf numFmtId="3" fontId="13" fillId="0" borderId="37" xfId="136" applyNumberFormat="1" applyFont="1" applyBorder="1" applyAlignment="1">
      <alignment horizontal="left" vertical="center" wrapText="1"/>
    </xf>
    <xf numFmtId="3" fontId="12" fillId="46" borderId="34" xfId="0" applyNumberFormat="1" applyFont="1" applyFill="1" applyBorder="1" applyAlignment="1">
      <alignment horizontal="center" vertical="center"/>
    </xf>
    <xf numFmtId="3" fontId="12" fillId="46" borderId="34" xfId="0" applyNumberFormat="1" applyFont="1" applyFill="1" applyBorder="1" applyAlignment="1">
      <alignment horizontal="left" vertical="center"/>
    </xf>
    <xf numFmtId="3" fontId="12" fillId="46" borderId="63" xfId="0" applyNumberFormat="1" applyFont="1" applyFill="1" applyBorder="1" applyAlignment="1">
      <alignment horizontal="left" vertical="center"/>
    </xf>
    <xf numFmtId="3" fontId="12" fillId="46" borderId="63" xfId="0" applyNumberFormat="1" applyFont="1" applyFill="1" applyBorder="1" applyAlignment="1">
      <alignment vertical="center"/>
    </xf>
    <xf numFmtId="3" fontId="14" fillId="0" borderId="34" xfId="0" applyNumberFormat="1" applyFont="1" applyBorder="1" applyAlignment="1">
      <alignment horizontal="left" vertical="center"/>
    </xf>
    <xf numFmtId="3" fontId="12" fillId="0" borderId="63" xfId="0" applyNumberFormat="1" applyFont="1" applyBorder="1" applyAlignment="1">
      <alignment horizontal="left" vertical="center"/>
    </xf>
    <xf numFmtId="3" fontId="12" fillId="0" borderId="63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horizontal="center" vertical="center"/>
    </xf>
    <xf numFmtId="3" fontId="13" fillId="0" borderId="63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horizontal="left" vertical="center" wrapText="1"/>
    </xf>
    <xf numFmtId="3" fontId="12" fillId="46" borderId="34" xfId="0" applyNumberFormat="1" applyFont="1" applyFill="1" applyBorder="1" applyAlignment="1">
      <alignment vertical="center"/>
    </xf>
    <xf numFmtId="3" fontId="12" fillId="0" borderId="34" xfId="0" applyNumberFormat="1" applyFont="1" applyBorder="1" applyAlignment="1">
      <alignment horizontal="center" vertical="center"/>
    </xf>
    <xf numFmtId="3" fontId="12" fillId="0" borderId="34" xfId="0" applyNumberFormat="1" applyFont="1" applyBorder="1" applyAlignment="1">
      <alignment vertical="center"/>
    </xf>
    <xf numFmtId="3" fontId="12" fillId="50" borderId="64" xfId="151" applyNumberFormat="1" applyFont="1" applyFill="1" applyBorder="1" applyAlignment="1">
      <alignment horizontal="center" vertical="center" wrapText="1"/>
    </xf>
    <xf numFmtId="0" fontId="13" fillId="0" borderId="63" xfId="151" applyFont="1" applyBorder="1" applyAlignment="1">
      <alignment vertical="center"/>
    </xf>
    <xf numFmtId="167" fontId="13" fillId="0" borderId="36" xfId="177" applyNumberFormat="1" applyFont="1" applyBorder="1" applyAlignment="1">
      <alignment vertical="center"/>
    </xf>
    <xf numFmtId="0" fontId="13" fillId="0" borderId="36" xfId="151" applyFont="1" applyBorder="1" applyAlignment="1">
      <alignment horizontal="left" vertical="center" wrapText="1"/>
    </xf>
    <xf numFmtId="167" fontId="13" fillId="0" borderId="36" xfId="177" applyNumberFormat="1" applyFont="1" applyFill="1" applyBorder="1" applyAlignment="1">
      <alignment vertical="center"/>
    </xf>
    <xf numFmtId="3" fontId="10" fillId="0" borderId="36" xfId="151" applyNumberFormat="1" applyFont="1" applyFill="1" applyBorder="1" applyAlignment="1">
      <alignment horizontal="right" vertical="center"/>
    </xf>
    <xf numFmtId="4" fontId="10" fillId="0" borderId="36" xfId="151" applyNumberFormat="1" applyFont="1" applyFill="1" applyBorder="1" applyAlignment="1">
      <alignment horizontal="right" vertical="center"/>
    </xf>
    <xf numFmtId="0" fontId="13" fillId="0" borderId="0" xfId="151" applyFont="1" applyBorder="1" applyAlignment="1">
      <alignment vertical="center"/>
    </xf>
    <xf numFmtId="3" fontId="10" fillId="0" borderId="0" xfId="151" applyNumberFormat="1" applyFont="1" applyBorder="1" applyAlignment="1">
      <alignment horizontal="right" vertical="center"/>
    </xf>
    <xf numFmtId="3" fontId="80" fillId="0" borderId="0" xfId="151" applyNumberFormat="1" applyFont="1" applyBorder="1" applyAlignment="1">
      <alignment horizontal="right" vertical="center"/>
    </xf>
    <xf numFmtId="3" fontId="13" fillId="0" borderId="65" xfId="0" applyNumberFormat="1" applyFont="1" applyBorder="1" applyAlignment="1">
      <alignment horizontal="center" vertical="center"/>
    </xf>
    <xf numFmtId="3" fontId="13" fillId="0" borderId="67" xfId="0" applyNumberFormat="1" applyFont="1" applyBorder="1" applyAlignment="1">
      <alignment horizontal="center" vertical="center"/>
    </xf>
    <xf numFmtId="0" fontId="13" fillId="0" borderId="65" xfId="0" applyFont="1" applyBorder="1" applyAlignment="1">
      <alignment vertical="center"/>
    </xf>
    <xf numFmtId="3" fontId="13" fillId="0" borderId="65" xfId="0" applyNumberFormat="1" applyFont="1" applyBorder="1" applyAlignment="1">
      <alignment vertical="center"/>
    </xf>
    <xf numFmtId="3" fontId="13" fillId="0" borderId="65" xfId="0" applyNumberFormat="1" applyFont="1" applyBorder="1" applyAlignment="1">
      <alignment horizontal="right" vertical="center"/>
    </xf>
    <xf numFmtId="3" fontId="13" fillId="0" borderId="68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left" vertical="center" wrapText="1"/>
    </xf>
    <xf numFmtId="0" fontId="13" fillId="0" borderId="65" xfId="0" applyFont="1" applyBorder="1" applyAlignment="1">
      <alignment horizontal="right" vertical="center" wrapText="1"/>
    </xf>
    <xf numFmtId="3" fontId="13" fillId="0" borderId="65" xfId="0" applyNumberFormat="1" applyFont="1" applyBorder="1" applyAlignment="1">
      <alignment vertical="center" wrapText="1"/>
    </xf>
    <xf numFmtId="0" fontId="12" fillId="0" borderId="37" xfId="161" applyFont="1" applyBorder="1" applyAlignment="1">
      <alignment horizontal="center" vertical="top"/>
    </xf>
    <xf numFmtId="3" fontId="12" fillId="51" borderId="65" xfId="0" applyNumberFormat="1" applyFont="1" applyFill="1" applyBorder="1" applyAlignment="1">
      <alignment horizontal="center" vertical="center"/>
    </xf>
    <xf numFmtId="3" fontId="13" fillId="0" borderId="69" xfId="0" applyNumberFormat="1" applyFont="1" applyBorder="1" applyAlignment="1">
      <alignment vertical="center"/>
    </xf>
    <xf numFmtId="3" fontId="13" fillId="51" borderId="65" xfId="0" applyNumberFormat="1" applyFont="1" applyFill="1" applyBorder="1" applyAlignment="1">
      <alignment horizontal="right" vertical="center"/>
    </xf>
    <xf numFmtId="0" fontId="85" fillId="0" borderId="67" xfId="0" applyFont="1" applyBorder="1" applyAlignment="1">
      <alignment vertical="center" wrapText="1"/>
    </xf>
    <xf numFmtId="0" fontId="10" fillId="0" borderId="65" xfId="134" applyFont="1" applyBorder="1" applyAlignment="1">
      <alignment horizontal="center" vertical="center"/>
    </xf>
    <xf numFmtId="0" fontId="11" fillId="0" borderId="65" xfId="134" applyFont="1" applyBorder="1" applyAlignment="1">
      <alignment horizontal="center" vertical="center"/>
    </xf>
    <xf numFmtId="3" fontId="11" fillId="0" borderId="65" xfId="134" applyNumberFormat="1" applyFont="1" applyBorder="1" applyAlignment="1">
      <alignment vertical="center"/>
    </xf>
    <xf numFmtId="3" fontId="10" fillId="0" borderId="65" xfId="134" applyNumberFormat="1" applyFont="1" applyBorder="1" applyAlignment="1">
      <alignment vertical="center"/>
    </xf>
    <xf numFmtId="0" fontId="10" fillId="0" borderId="67" xfId="134" applyFont="1" applyBorder="1" applyAlignment="1">
      <alignment vertical="center" wrapText="1"/>
    </xf>
    <xf numFmtId="3" fontId="10" fillId="0" borderId="65" xfId="134" applyNumberFormat="1" applyFont="1" applyBorder="1" applyAlignment="1">
      <alignment horizontal="center" vertical="center"/>
    </xf>
    <xf numFmtId="3" fontId="10" fillId="0" borderId="36" xfId="134" applyNumberFormat="1" applyFont="1" applyFill="1" applyBorder="1" applyAlignment="1">
      <alignment vertical="center"/>
    </xf>
    <xf numFmtId="3" fontId="13" fillId="0" borderId="0" xfId="0" applyNumberFormat="1" applyFont="1" applyAlignment="1">
      <alignment vertical="center" wrapText="1"/>
    </xf>
    <xf numFmtId="3" fontId="10" fillId="0" borderId="65" xfId="134" applyNumberFormat="1" applyFont="1" applyBorder="1" applyAlignment="1">
      <alignment horizontal="center" vertical="center" wrapText="1"/>
    </xf>
    <xf numFmtId="3" fontId="10" fillId="0" borderId="65" xfId="134" applyNumberFormat="1" applyFont="1" applyBorder="1" applyAlignment="1">
      <alignment vertical="center" wrapText="1"/>
    </xf>
    <xf numFmtId="3" fontId="80" fillId="0" borderId="65" xfId="134" applyNumberFormat="1" applyFont="1" applyBorder="1" applyAlignment="1">
      <alignment vertical="center" wrapText="1"/>
    </xf>
    <xf numFmtId="3" fontId="12" fillId="0" borderId="70" xfId="0" applyNumberFormat="1" applyFont="1" applyBorder="1" applyAlignment="1">
      <alignment vertical="center"/>
    </xf>
    <xf numFmtId="3" fontId="13" fillId="0" borderId="71" xfId="0" applyNumberFormat="1" applyFont="1" applyBorder="1" applyAlignment="1">
      <alignment vertical="center"/>
    </xf>
    <xf numFmtId="3" fontId="13" fillId="0" borderId="21" xfId="136" applyNumberFormat="1" applyFont="1" applyFill="1" applyBorder="1" applyAlignment="1">
      <alignment horizontal="right" vertical="center"/>
    </xf>
    <xf numFmtId="3" fontId="10" fillId="0" borderId="65" xfId="134" applyNumberFormat="1" applyFont="1" applyFill="1" applyBorder="1" applyAlignment="1">
      <alignment vertical="center" wrapText="1"/>
    </xf>
    <xf numFmtId="0" fontId="10" fillId="0" borderId="54" xfId="154" applyFont="1" applyBorder="1" applyAlignment="1">
      <alignment vertical="center" wrapText="1"/>
    </xf>
    <xf numFmtId="0" fontId="20" fillId="0" borderId="54" xfId="154" applyFont="1" applyBorder="1" applyAlignment="1">
      <alignment vertical="center"/>
    </xf>
    <xf numFmtId="0" fontId="10" fillId="0" borderId="37" xfId="161" applyFont="1" applyBorder="1" applyAlignment="1">
      <alignment vertical="top" wrapText="1"/>
    </xf>
    <xf numFmtId="3" fontId="10" fillId="0" borderId="53" xfId="158" applyNumberFormat="1" applyFont="1" applyBorder="1" applyAlignment="1">
      <alignment vertical="center" wrapText="1"/>
    </xf>
    <xf numFmtId="3" fontId="13" fillId="0" borderId="37" xfId="158" applyNumberFormat="1" applyFont="1" applyBorder="1" applyAlignment="1">
      <alignment vertical="center" wrapText="1"/>
    </xf>
    <xf numFmtId="3" fontId="13" fillId="0" borderId="37" xfId="157" applyNumberFormat="1" applyFont="1" applyBorder="1" applyAlignment="1">
      <alignment horizontal="left" vertical="center" wrapText="1"/>
    </xf>
    <xf numFmtId="3" fontId="10" fillId="0" borderId="53" xfId="157" applyNumberFormat="1" applyFont="1" applyBorder="1" applyAlignment="1">
      <alignment horizontal="left" vertical="center" wrapText="1"/>
    </xf>
    <xf numFmtId="3" fontId="10" fillId="48" borderId="53" xfId="131" applyNumberFormat="1" applyFont="1" applyFill="1" applyBorder="1" applyAlignment="1">
      <alignment vertical="top" wrapText="1"/>
    </xf>
    <xf numFmtId="3" fontId="13" fillId="0" borderId="59" xfId="0" applyNumberFormat="1" applyFont="1" applyBorder="1" applyAlignment="1">
      <alignment horizontal="left" vertical="center" wrapText="1"/>
    </xf>
    <xf numFmtId="3" fontId="13" fillId="0" borderId="37" xfId="159" applyNumberFormat="1" applyFont="1" applyBorder="1" applyAlignment="1">
      <alignment vertical="top" wrapText="1"/>
    </xf>
    <xf numFmtId="3" fontId="10" fillId="0" borderId="53" xfId="159" applyNumberFormat="1" applyFont="1" applyBorder="1" applyAlignment="1">
      <alignment vertical="top" wrapText="1"/>
    </xf>
    <xf numFmtId="3" fontId="10" fillId="0" borderId="36" xfId="0" applyNumberFormat="1" applyFont="1" applyBorder="1" applyAlignment="1">
      <alignment vertical="center" wrapText="1"/>
    </xf>
    <xf numFmtId="3" fontId="10" fillId="0" borderId="36" xfId="130" applyNumberFormat="1" applyFont="1" applyBorder="1" applyAlignment="1">
      <alignment vertical="top" wrapText="1"/>
    </xf>
    <xf numFmtId="3" fontId="13" fillId="0" borderId="37" xfId="130" applyNumberFormat="1" applyFont="1" applyBorder="1" applyAlignment="1">
      <alignment vertical="top" wrapText="1"/>
    </xf>
    <xf numFmtId="0" fontId="10" fillId="0" borderId="38" xfId="129" applyFont="1" applyBorder="1" applyAlignment="1">
      <alignment vertical="center" wrapText="1"/>
    </xf>
    <xf numFmtId="0" fontId="10" fillId="0" borderId="53" xfId="129" applyFont="1" applyBorder="1" applyAlignment="1">
      <alignment vertical="center" wrapText="1"/>
    </xf>
    <xf numFmtId="3" fontId="10" fillId="0" borderId="53" xfId="160" applyNumberFormat="1" applyFont="1" applyBorder="1" applyAlignment="1">
      <alignment horizontal="left" vertical="center" wrapText="1"/>
    </xf>
    <xf numFmtId="3" fontId="10" fillId="0" borderId="36" xfId="159" applyNumberFormat="1" applyFont="1" applyBorder="1" applyAlignment="1">
      <alignment vertical="top" wrapText="1"/>
    </xf>
    <xf numFmtId="0" fontId="13" fillId="0" borderId="37" xfId="129" applyFont="1" applyFill="1" applyBorder="1" applyAlignment="1">
      <alignment vertical="center" wrapText="1"/>
    </xf>
    <xf numFmtId="3" fontId="13" fillId="0" borderId="40" xfId="0" applyNumberFormat="1" applyFont="1" applyFill="1" applyBorder="1" applyAlignment="1">
      <alignment vertical="center"/>
    </xf>
    <xf numFmtId="3" fontId="13" fillId="0" borderId="36" xfId="136" applyNumberFormat="1" applyFont="1" applyFill="1" applyBorder="1" applyAlignment="1">
      <alignment horizontal="right" vertical="center"/>
    </xf>
    <xf numFmtId="3" fontId="10" fillId="0" borderId="36" xfId="134" applyNumberFormat="1" applyFont="1" applyFill="1" applyBorder="1" applyAlignment="1">
      <alignment vertical="center" wrapText="1"/>
    </xf>
    <xf numFmtId="3" fontId="14" fillId="0" borderId="52" xfId="0" applyNumberFormat="1" applyFont="1" applyBorder="1" applyAlignment="1">
      <alignment vertical="center"/>
    </xf>
    <xf numFmtId="3" fontId="10" fillId="0" borderId="34" xfId="0" applyNumberFormat="1" applyFont="1" applyBorder="1" applyAlignment="1">
      <alignment vertical="center"/>
    </xf>
    <xf numFmtId="0" fontId="11" fillId="46" borderId="34" xfId="134" applyFont="1" applyFill="1" applyBorder="1" applyAlignment="1">
      <alignment vertical="center"/>
    </xf>
    <xf numFmtId="0" fontId="10" fillId="0" borderId="72" xfId="0" applyFont="1" applyBorder="1" applyAlignment="1">
      <alignment horizontal="left" vertical="center" wrapText="1"/>
    </xf>
    <xf numFmtId="3" fontId="13" fillId="0" borderId="73" xfId="0" applyNumberFormat="1" applyFont="1" applyBorder="1" applyAlignment="1">
      <alignment vertical="center"/>
    </xf>
    <xf numFmtId="3" fontId="13" fillId="0" borderId="65" xfId="136" applyNumberFormat="1" applyFont="1" applyBorder="1" applyAlignment="1">
      <alignment horizontal="right" vertical="center"/>
    </xf>
    <xf numFmtId="3" fontId="10" fillId="0" borderId="65" xfId="134" applyNumberFormat="1" applyFont="1" applyFill="1" applyBorder="1" applyAlignment="1">
      <alignment horizontal="center" vertical="center" wrapText="1"/>
    </xf>
    <xf numFmtId="3" fontId="13" fillId="0" borderId="73" xfId="0" applyNumberFormat="1" applyFont="1" applyFill="1" applyBorder="1" applyAlignment="1">
      <alignment vertical="center"/>
    </xf>
    <xf numFmtId="3" fontId="13" fillId="0" borderId="37" xfId="0" applyNumberFormat="1" applyFont="1" applyFill="1" applyBorder="1" applyAlignment="1">
      <alignment vertical="center"/>
    </xf>
    <xf numFmtId="3" fontId="13" fillId="0" borderId="74" xfId="0" applyNumberFormat="1" applyFont="1" applyBorder="1" applyAlignment="1">
      <alignment horizontal="center" vertical="center"/>
    </xf>
    <xf numFmtId="3" fontId="14" fillId="0" borderId="30" xfId="0" applyNumberFormat="1" applyFont="1" applyBorder="1" applyAlignment="1">
      <alignment horizontal="center" vertical="center"/>
    </xf>
    <xf numFmtId="3" fontId="14" fillId="0" borderId="37" xfId="0" applyNumberFormat="1" applyFont="1" applyBorder="1" applyAlignment="1">
      <alignment horizontal="left" vertical="center" wrapText="1"/>
    </xf>
    <xf numFmtId="3" fontId="13" fillId="0" borderId="36" xfId="0" applyNumberFormat="1" applyFont="1" applyFill="1" applyBorder="1" applyAlignment="1">
      <alignment horizontal="right" vertical="center"/>
    </xf>
    <xf numFmtId="3" fontId="13" fillId="0" borderId="76" xfId="0" applyNumberFormat="1" applyFont="1" applyBorder="1" applyAlignment="1">
      <alignment horizontal="center" vertical="center"/>
    </xf>
    <xf numFmtId="3" fontId="13" fillId="0" borderId="65" xfId="0" applyNumberFormat="1" applyFont="1" applyFill="1" applyBorder="1" applyAlignment="1">
      <alignment horizontal="right" vertical="center"/>
    </xf>
    <xf numFmtId="49" fontId="13" fillId="0" borderId="78" xfId="167" applyNumberFormat="1" applyFont="1" applyBorder="1" applyAlignment="1">
      <alignment horizontal="left" vertical="center" wrapText="1"/>
    </xf>
    <xf numFmtId="3" fontId="13" fillId="0" borderId="79" xfId="0" applyNumberFormat="1" applyFont="1" applyBorder="1" applyAlignment="1">
      <alignment vertical="center"/>
    </xf>
    <xf numFmtId="0" fontId="13" fillId="0" borderId="78" xfId="0" applyFont="1" applyBorder="1" applyAlignment="1">
      <alignment vertical="center" wrapText="1"/>
    </xf>
    <xf numFmtId="3" fontId="12" fillId="0" borderId="65" xfId="0" applyNumberFormat="1" applyFont="1" applyBorder="1" applyAlignment="1">
      <alignment horizontal="center" vertical="center"/>
    </xf>
    <xf numFmtId="3" fontId="13" fillId="0" borderId="80" xfId="0" applyNumberFormat="1" applyFont="1" applyBorder="1" applyAlignment="1">
      <alignment vertical="center"/>
    </xf>
    <xf numFmtId="3" fontId="13" fillId="0" borderId="78" xfId="0" applyNumberFormat="1" applyFont="1" applyBorder="1" applyAlignment="1">
      <alignment horizontal="left" vertical="center"/>
    </xf>
    <xf numFmtId="3" fontId="13" fillId="0" borderId="78" xfId="0" applyNumberFormat="1" applyFont="1" applyBorder="1" applyAlignment="1">
      <alignment vertical="center"/>
    </xf>
    <xf numFmtId="0" fontId="13" fillId="0" borderId="78" xfId="0" applyFont="1" applyBorder="1" applyAlignment="1">
      <alignment horizontal="left" vertical="center" wrapText="1"/>
    </xf>
    <xf numFmtId="3" fontId="12" fillId="0" borderId="65" xfId="0" applyNumberFormat="1" applyFont="1" applyBorder="1" applyAlignment="1">
      <alignment horizontal="center" vertical="center" wrapText="1"/>
    </xf>
    <xf numFmtId="3" fontId="78" fillId="0" borderId="65" xfId="0" applyNumberFormat="1" applyFont="1" applyBorder="1" applyAlignment="1">
      <alignment horizontal="center" vertical="center"/>
    </xf>
    <xf numFmtId="0" fontId="13" fillId="0" borderId="36" xfId="161" applyFont="1" applyBorder="1" applyAlignment="1">
      <alignment vertical="center" wrapText="1"/>
    </xf>
    <xf numFmtId="0" fontId="13" fillId="0" borderId="78" xfId="0" applyFont="1" applyFill="1" applyBorder="1" applyAlignment="1">
      <alignment horizontal="left" vertical="center" wrapText="1"/>
    </xf>
    <xf numFmtId="3" fontId="13" fillId="0" borderId="79" xfId="0" applyNumberFormat="1" applyFont="1" applyFill="1" applyBorder="1" applyAlignment="1">
      <alignment vertical="center"/>
    </xf>
    <xf numFmtId="3" fontId="13" fillId="0" borderId="65" xfId="0" applyNumberFormat="1" applyFont="1" applyFill="1" applyBorder="1" applyAlignment="1">
      <alignment vertical="center"/>
    </xf>
    <xf numFmtId="3" fontId="13" fillId="0" borderId="65" xfId="157" applyNumberFormat="1" applyFont="1" applyBorder="1" applyAlignment="1">
      <alignment vertical="center" wrapText="1"/>
    </xf>
    <xf numFmtId="3" fontId="12" fillId="0" borderId="65" xfId="0" applyNumberFormat="1" applyFont="1" applyBorder="1" applyAlignment="1">
      <alignment vertical="center"/>
    </xf>
    <xf numFmtId="0" fontId="13" fillId="0" borderId="79" xfId="171" applyFont="1" applyBorder="1" applyAlignment="1">
      <alignment vertical="center" wrapText="1"/>
    </xf>
    <xf numFmtId="0" fontId="13" fillId="0" borderId="37" xfId="161" applyFont="1" applyBorder="1" applyAlignment="1">
      <alignment vertical="center" wrapText="1"/>
    </xf>
    <xf numFmtId="3" fontId="10" fillId="0" borderId="79" xfId="134" applyNumberFormat="1" applyFont="1" applyFill="1" applyBorder="1" applyAlignment="1">
      <alignment horizontal="center" vertical="center" wrapText="1"/>
    </xf>
    <xf numFmtId="0" fontId="10" fillId="0" borderId="76" xfId="134" applyFont="1" applyBorder="1" applyAlignment="1">
      <alignment horizontal="center" vertical="center"/>
    </xf>
    <xf numFmtId="3" fontId="10" fillId="0" borderId="76" xfId="134" applyNumberFormat="1" applyFont="1" applyBorder="1" applyAlignment="1">
      <alignment vertical="center"/>
    </xf>
    <xf numFmtId="3" fontId="12" fillId="51" borderId="76" xfId="0" applyNumberFormat="1" applyFont="1" applyFill="1" applyBorder="1" applyAlignment="1">
      <alignment horizontal="center" vertical="center"/>
    </xf>
    <xf numFmtId="3" fontId="12" fillId="51" borderId="72" xfId="0" applyNumberFormat="1" applyFont="1" applyFill="1" applyBorder="1" applyAlignment="1">
      <alignment horizontal="center" vertical="center"/>
    </xf>
    <xf numFmtId="0" fontId="13" fillId="0" borderId="76" xfId="0" applyFont="1" applyBorder="1" applyAlignment="1">
      <alignment vertical="center"/>
    </xf>
    <xf numFmtId="3" fontId="13" fillId="51" borderId="76" xfId="0" applyNumberFormat="1" applyFont="1" applyFill="1" applyBorder="1" applyAlignment="1">
      <alignment horizontal="right" vertical="center"/>
    </xf>
    <xf numFmtId="3" fontId="12" fillId="51" borderId="78" xfId="0" applyNumberFormat="1" applyFont="1" applyFill="1" applyBorder="1" applyAlignment="1">
      <alignment horizontal="center" vertical="center"/>
    </xf>
    <xf numFmtId="3" fontId="13" fillId="51" borderId="65" xfId="0" applyNumberFormat="1" applyFont="1" applyFill="1" applyBorder="1" applyAlignment="1">
      <alignment vertical="center"/>
    </xf>
    <xf numFmtId="3" fontId="13" fillId="0" borderId="65" xfId="136" applyNumberFormat="1" applyFont="1" applyFill="1" applyBorder="1" applyAlignment="1">
      <alignment horizontal="right" vertical="center"/>
    </xf>
    <xf numFmtId="49" fontId="13" fillId="0" borderId="36" xfId="0" applyNumberFormat="1" applyFont="1" applyFill="1" applyBorder="1" applyAlignment="1">
      <alignment horizontal="left" vertical="center" wrapText="1"/>
    </xf>
    <xf numFmtId="0" fontId="10" fillId="0" borderId="0" xfId="154" applyFont="1" applyAlignment="1">
      <alignment vertical="center"/>
    </xf>
    <xf numFmtId="0" fontId="13" fillId="0" borderId="78" xfId="131" applyFont="1" applyBorder="1" applyAlignment="1">
      <alignment horizontal="left" vertical="center" wrapText="1"/>
    </xf>
    <xf numFmtId="0" fontId="13" fillId="52" borderId="78" xfId="131" applyFont="1" applyFill="1" applyBorder="1" applyAlignment="1">
      <alignment horizontal="left" vertical="center" wrapText="1"/>
    </xf>
    <xf numFmtId="3" fontId="13" fillId="0" borderId="37" xfId="168" applyNumberFormat="1" applyFont="1" applyBorder="1" applyAlignment="1">
      <alignment horizontal="left" vertical="center" wrapText="1"/>
    </xf>
    <xf numFmtId="3" fontId="13" fillId="48" borderId="76" xfId="0" applyNumberFormat="1" applyFont="1" applyFill="1" applyBorder="1" applyAlignment="1">
      <alignment horizontal="center" vertical="center"/>
    </xf>
    <xf numFmtId="0" fontId="13" fillId="0" borderId="72" xfId="0" applyFont="1" applyBorder="1" applyAlignment="1">
      <alignment horizontal="left" vertical="center" wrapText="1"/>
    </xf>
    <xf numFmtId="3" fontId="13" fillId="0" borderId="75" xfId="0" applyNumberFormat="1" applyFont="1" applyBorder="1" applyAlignment="1">
      <alignment vertical="center"/>
    </xf>
    <xf numFmtId="0" fontId="12" fillId="0" borderId="75" xfId="161" applyFont="1" applyBorder="1" applyAlignment="1">
      <alignment vertical="center"/>
    </xf>
    <xf numFmtId="0" fontId="13" fillId="0" borderId="73" xfId="0" applyFont="1" applyBorder="1" applyAlignment="1">
      <alignment vertical="center" wrapText="1"/>
    </xf>
    <xf numFmtId="0" fontId="13" fillId="0" borderId="75" xfId="0" applyFont="1" applyBorder="1" applyAlignment="1">
      <alignment vertical="center" wrapText="1"/>
    </xf>
    <xf numFmtId="0" fontId="13" fillId="48" borderId="76" xfId="161" applyFont="1" applyFill="1" applyBorder="1" applyAlignment="1">
      <alignment horizontal="center" vertical="top" wrapText="1"/>
    </xf>
    <xf numFmtId="0" fontId="12" fillId="48" borderId="76" xfId="161" applyFont="1" applyFill="1" applyBorder="1" applyAlignment="1">
      <alignment horizontal="center" vertical="top" wrapText="1"/>
    </xf>
    <xf numFmtId="0" fontId="12" fillId="0" borderId="76" xfId="161" applyFont="1" applyBorder="1" applyAlignment="1">
      <alignment horizontal="center" vertical="top" wrapText="1"/>
    </xf>
    <xf numFmtId="0" fontId="13" fillId="0" borderId="76" xfId="161" applyFont="1" applyBorder="1" applyAlignment="1">
      <alignment horizontal="center" vertical="top" wrapText="1"/>
    </xf>
    <xf numFmtId="3" fontId="13" fillId="0" borderId="77" xfId="0" applyNumberFormat="1" applyFont="1" applyBorder="1" applyAlignment="1">
      <alignment horizontal="center" vertical="center"/>
    </xf>
    <xf numFmtId="49" fontId="13" fillId="0" borderId="56" xfId="168" applyNumberFormat="1" applyFont="1" applyBorder="1" applyAlignment="1">
      <alignment horizontal="left" vertical="center" wrapText="1"/>
    </xf>
    <xf numFmtId="3" fontId="13" fillId="0" borderId="66" xfId="0" applyNumberFormat="1" applyFont="1" applyBorder="1" applyAlignment="1">
      <alignment horizontal="center" vertical="center"/>
    </xf>
    <xf numFmtId="3" fontId="10" fillId="0" borderId="36" xfId="134" applyNumberFormat="1" applyFont="1" applyFill="1" applyBorder="1" applyAlignment="1">
      <alignment horizontal="center" vertical="center"/>
    </xf>
    <xf numFmtId="0" fontId="10" fillId="0" borderId="37" xfId="134" applyFont="1" applyFill="1" applyBorder="1" applyAlignment="1">
      <alignment vertical="center" wrapText="1"/>
    </xf>
    <xf numFmtId="3" fontId="10" fillId="0" borderId="81" xfId="0" applyNumberFormat="1" applyFont="1" applyBorder="1" applyAlignment="1">
      <alignment horizontal="left" vertical="center" wrapText="1"/>
    </xf>
    <xf numFmtId="0" fontId="10" fillId="0" borderId="81" xfId="173" applyFont="1" applyBorder="1" applyAlignment="1">
      <alignment vertical="center" wrapText="1"/>
    </xf>
    <xf numFmtId="0" fontId="13" fillId="0" borderId="36" xfId="0" applyFont="1" applyFill="1" applyBorder="1" applyAlignment="1">
      <alignment vertical="center"/>
    </xf>
    <xf numFmtId="3" fontId="13" fillId="0" borderId="63" xfId="0" applyNumberFormat="1" applyFont="1" applyFill="1" applyBorder="1" applyAlignment="1">
      <alignment vertical="center"/>
    </xf>
    <xf numFmtId="0" fontId="13" fillId="0" borderId="34" xfId="129" applyFont="1" applyFill="1" applyBorder="1" applyAlignment="1">
      <alignment vertical="center" wrapText="1"/>
    </xf>
    <xf numFmtId="3" fontId="13" fillId="0" borderId="36" xfId="133" applyNumberFormat="1" applyFont="1" applyFill="1" applyBorder="1" applyAlignment="1">
      <alignment horizontal="right" vertical="center"/>
    </xf>
    <xf numFmtId="0" fontId="10" fillId="0" borderId="72" xfId="134" applyFont="1" applyFill="1" applyBorder="1" applyAlignment="1">
      <alignment vertical="center" wrapText="1"/>
    </xf>
    <xf numFmtId="3" fontId="13" fillId="0" borderId="37" xfId="0" applyNumberFormat="1" applyFont="1" applyFill="1" applyBorder="1" applyAlignment="1">
      <alignment horizontal="left" vertical="center"/>
    </xf>
    <xf numFmtId="0" fontId="13" fillId="0" borderId="82" xfId="0" applyFont="1" applyFill="1" applyBorder="1" applyAlignment="1">
      <alignment vertical="center" wrapText="1"/>
    </xf>
    <xf numFmtId="3" fontId="13" fillId="0" borderId="78" xfId="0" applyNumberFormat="1" applyFont="1" applyBorder="1" applyAlignment="1">
      <alignment horizontal="center" vertical="center"/>
    </xf>
    <xf numFmtId="3" fontId="13" fillId="0" borderId="83" xfId="0" applyNumberFormat="1" applyFont="1" applyBorder="1" applyAlignment="1">
      <alignment vertical="center" wrapText="1"/>
    </xf>
    <xf numFmtId="0" fontId="13" fillId="0" borderId="84" xfId="173" applyFont="1" applyBorder="1" applyAlignment="1">
      <alignment vertical="center" wrapText="1"/>
    </xf>
    <xf numFmtId="0" fontId="14" fillId="0" borderId="78" xfId="161" applyFont="1" applyBorder="1" applyAlignment="1">
      <alignment vertical="center"/>
    </xf>
    <xf numFmtId="0" fontId="14" fillId="0" borderId="83" xfId="129" applyFont="1" applyBorder="1" applyAlignment="1">
      <alignment vertical="center" wrapText="1"/>
    </xf>
    <xf numFmtId="0" fontId="13" fillId="0" borderId="83" xfId="161" applyFont="1" applyBorder="1" applyAlignment="1">
      <alignment vertical="center"/>
    </xf>
    <xf numFmtId="0" fontId="13" fillId="0" borderId="68" xfId="171" applyFont="1" applyFill="1" applyBorder="1" applyAlignment="1">
      <alignment vertical="center" wrapText="1"/>
    </xf>
    <xf numFmtId="3" fontId="13" fillId="0" borderId="85" xfId="0" applyNumberFormat="1" applyFont="1" applyBorder="1" applyAlignment="1">
      <alignment horizontal="right" vertical="center"/>
    </xf>
    <xf numFmtId="3" fontId="13" fillId="0" borderId="85" xfId="0" applyNumberFormat="1" applyFont="1" applyBorder="1" applyAlignment="1">
      <alignment vertical="center"/>
    </xf>
    <xf numFmtId="3" fontId="13" fillId="0" borderId="85" xfId="0" applyNumberFormat="1" applyFont="1" applyBorder="1" applyAlignment="1">
      <alignment horizontal="center" vertical="center"/>
    </xf>
    <xf numFmtId="3" fontId="13" fillId="0" borderId="87" xfId="0" applyNumberFormat="1" applyFont="1" applyBorder="1" applyAlignment="1">
      <alignment vertical="center"/>
    </xf>
    <xf numFmtId="3" fontId="12" fillId="0" borderId="85" xfId="0" applyNumberFormat="1" applyFont="1" applyBorder="1" applyAlignment="1">
      <alignment horizontal="center" vertical="center"/>
    </xf>
    <xf numFmtId="0" fontId="13" fillId="0" borderId="86" xfId="0" applyFont="1" applyBorder="1" applyAlignment="1">
      <alignment horizontal="left" vertical="center" wrapText="1"/>
    </xf>
    <xf numFmtId="0" fontId="13" fillId="0" borderId="86" xfId="0" applyFont="1" applyBorder="1" applyAlignment="1">
      <alignment vertical="center" wrapText="1"/>
    </xf>
    <xf numFmtId="3" fontId="13" fillId="0" borderId="85" xfId="0" applyNumberFormat="1" applyFont="1" applyFill="1" applyBorder="1" applyAlignment="1">
      <alignment vertical="center"/>
    </xf>
    <xf numFmtId="3" fontId="13" fillId="48" borderId="88" xfId="0" applyNumberFormat="1" applyFont="1" applyFill="1" applyBorder="1" applyAlignment="1">
      <alignment horizontal="center" vertical="center"/>
    </xf>
    <xf numFmtId="3" fontId="13" fillId="48" borderId="85" xfId="0" applyNumberFormat="1" applyFont="1" applyFill="1" applyBorder="1" applyAlignment="1">
      <alignment horizontal="center" vertical="center"/>
    </xf>
    <xf numFmtId="3" fontId="13" fillId="0" borderId="89" xfId="0" applyNumberFormat="1" applyFont="1" applyBorder="1" applyAlignment="1">
      <alignment vertical="center"/>
    </xf>
    <xf numFmtId="3" fontId="13" fillId="0" borderId="85" xfId="136" applyNumberFormat="1" applyFont="1" applyBorder="1" applyAlignment="1">
      <alignment horizontal="right" vertical="center"/>
    </xf>
    <xf numFmtId="3" fontId="13" fillId="0" borderId="82" xfId="0" applyNumberFormat="1" applyFont="1" applyBorder="1" applyAlignment="1">
      <alignment vertical="center" wrapText="1"/>
    </xf>
    <xf numFmtId="3" fontId="10" fillId="0" borderId="76" xfId="134" applyNumberFormat="1" applyFont="1" applyFill="1" applyBorder="1" applyAlignment="1">
      <alignment horizontal="center" vertical="center"/>
    </xf>
    <xf numFmtId="3" fontId="13" fillId="0" borderId="76" xfId="0" applyNumberFormat="1" applyFont="1" applyFill="1" applyBorder="1" applyAlignment="1">
      <alignment vertical="center"/>
    </xf>
    <xf numFmtId="3" fontId="13" fillId="0" borderId="0" xfId="0" applyNumberFormat="1" applyFont="1" applyFill="1" applyAlignment="1">
      <alignment vertical="center"/>
    </xf>
    <xf numFmtId="3" fontId="13" fillId="0" borderId="87" xfId="0" applyNumberFormat="1" applyFont="1" applyFill="1" applyBorder="1" applyAlignment="1">
      <alignment vertical="center"/>
    </xf>
    <xf numFmtId="3" fontId="13" fillId="0" borderId="69" xfId="0" applyNumberFormat="1" applyFont="1" applyFill="1" applyBorder="1" applyAlignment="1">
      <alignment vertical="center"/>
    </xf>
    <xf numFmtId="3" fontId="13" fillId="0" borderId="65" xfId="171" applyNumberFormat="1" applyFont="1" applyFill="1" applyBorder="1" applyAlignment="1">
      <alignment vertical="center" wrapText="1"/>
    </xf>
    <xf numFmtId="3" fontId="13" fillId="0" borderId="85" xfId="0" applyNumberFormat="1" applyFont="1" applyBorder="1" applyAlignment="1">
      <alignment vertical="center" wrapText="1"/>
    </xf>
    <xf numFmtId="3" fontId="10" fillId="0" borderId="36" xfId="134" applyNumberFormat="1" applyFont="1" applyFill="1" applyBorder="1" applyAlignment="1">
      <alignment horizontal="center" vertical="center" wrapText="1"/>
    </xf>
    <xf numFmtId="3" fontId="80" fillId="0" borderId="36" xfId="134" applyNumberFormat="1" applyFont="1" applyFill="1" applyBorder="1" applyAlignment="1">
      <alignment vertical="center"/>
    </xf>
    <xf numFmtId="0" fontId="10" fillId="0" borderId="36" xfId="134" applyFont="1" applyFill="1" applyBorder="1" applyAlignment="1">
      <alignment horizontal="center" vertical="center" wrapText="1"/>
    </xf>
    <xf numFmtId="0" fontId="10" fillId="0" borderId="27" xfId="134" applyFont="1" applyFill="1" applyBorder="1" applyAlignment="1">
      <alignment vertical="center" wrapText="1"/>
    </xf>
    <xf numFmtId="3" fontId="13" fillId="0" borderId="37" xfId="136" applyNumberFormat="1" applyFont="1" applyFill="1" applyBorder="1" applyAlignment="1">
      <alignment vertical="center" wrapText="1"/>
    </xf>
    <xf numFmtId="3" fontId="13" fillId="0" borderId="37" xfId="136" applyNumberFormat="1" applyFont="1" applyFill="1" applyBorder="1" applyAlignment="1">
      <alignment vertical="center"/>
    </xf>
    <xf numFmtId="3" fontId="13" fillId="0" borderId="60" xfId="136" applyNumberFormat="1" applyFont="1" applyFill="1" applyBorder="1" applyAlignment="1">
      <alignment vertical="center"/>
    </xf>
    <xf numFmtId="0" fontId="85" fillId="0" borderId="38" xfId="162" applyFont="1" applyFill="1" applyBorder="1" applyAlignment="1">
      <alignment horizontal="left" vertical="center" wrapText="1"/>
    </xf>
    <xf numFmtId="3" fontId="13" fillId="0" borderId="43" xfId="163" applyNumberFormat="1" applyFont="1" applyFill="1" applyBorder="1" applyAlignment="1">
      <alignment vertical="center" wrapText="1"/>
    </xf>
    <xf numFmtId="3" fontId="13" fillId="0" borderId="37" xfId="163" applyNumberFormat="1" applyFont="1" applyFill="1" applyBorder="1" applyAlignment="1">
      <alignment vertical="center" wrapText="1"/>
    </xf>
    <xf numFmtId="3" fontId="13" fillId="0" borderId="30" xfId="163" applyNumberFormat="1" applyFont="1" applyFill="1" applyBorder="1" applyAlignment="1">
      <alignment vertical="center" wrapText="1"/>
    </xf>
    <xf numFmtId="0" fontId="13" fillId="0" borderId="53" xfId="0" applyFont="1" applyBorder="1" applyAlignment="1">
      <alignment vertical="center" wrapText="1"/>
    </xf>
    <xf numFmtId="0" fontId="13" fillId="0" borderId="37" xfId="0" applyFont="1" applyFill="1" applyBorder="1" applyAlignment="1">
      <alignment vertical="center" wrapText="1"/>
    </xf>
    <xf numFmtId="0" fontId="13" fillId="0" borderId="37" xfId="166" applyFont="1" applyFill="1" applyBorder="1" applyAlignment="1">
      <alignment vertical="center"/>
    </xf>
    <xf numFmtId="0" fontId="13" fillId="0" borderId="37" xfId="161" applyFont="1" applyFill="1" applyBorder="1" applyAlignment="1">
      <alignment horizontal="center" vertical="center"/>
    </xf>
    <xf numFmtId="0" fontId="13" fillId="0" borderId="37" xfId="169" applyFont="1" applyFill="1" applyBorder="1" applyAlignment="1">
      <alignment vertical="center" wrapText="1"/>
    </xf>
    <xf numFmtId="0" fontId="13" fillId="0" borderId="72" xfId="0" applyFont="1" applyFill="1" applyBorder="1" applyAlignment="1">
      <alignment horizontal="left" vertical="center" wrapText="1"/>
    </xf>
    <xf numFmtId="0" fontId="13" fillId="0" borderId="78" xfId="161" applyFont="1" applyFill="1" applyBorder="1" applyAlignment="1">
      <alignment vertical="center"/>
    </xf>
    <xf numFmtId="3" fontId="13" fillId="0" borderId="37" xfId="0" applyNumberFormat="1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left" vertical="center" wrapText="1"/>
    </xf>
    <xf numFmtId="0" fontId="13" fillId="0" borderId="75" xfId="161" applyFont="1" applyFill="1" applyBorder="1" applyAlignment="1">
      <alignment vertical="center"/>
    </xf>
    <xf numFmtId="0" fontId="13" fillId="48" borderId="76" xfId="161" applyFont="1" applyFill="1" applyBorder="1" applyAlignment="1">
      <alignment horizontal="center" vertical="center" wrapText="1"/>
    </xf>
    <xf numFmtId="0" fontId="13" fillId="0" borderId="75" xfId="170" applyFont="1" applyBorder="1" applyAlignment="1">
      <alignment vertical="center" wrapText="1"/>
    </xf>
    <xf numFmtId="0" fontId="13" fillId="0" borderId="75" xfId="158" applyFont="1" applyFill="1" applyBorder="1" applyAlignment="1">
      <alignment vertical="center" wrapText="1"/>
    </xf>
    <xf numFmtId="3" fontId="13" fillId="0" borderId="90" xfId="0" applyNumberFormat="1" applyFont="1" applyBorder="1" applyAlignment="1">
      <alignment vertical="center"/>
    </xf>
    <xf numFmtId="3" fontId="13" fillId="48" borderId="37" xfId="131" applyNumberFormat="1" applyFont="1" applyFill="1" applyBorder="1" applyAlignment="1">
      <alignment vertical="center" wrapText="1"/>
    </xf>
    <xf numFmtId="3" fontId="13" fillId="0" borderId="37" xfId="159" applyNumberFormat="1" applyFont="1" applyBorder="1" applyAlignment="1">
      <alignment vertical="center" wrapText="1"/>
    </xf>
    <xf numFmtId="3" fontId="13" fillId="0" borderId="37" xfId="130" applyNumberFormat="1" applyFont="1" applyBorder="1" applyAlignment="1">
      <alignment vertical="center" wrapText="1"/>
    </xf>
    <xf numFmtId="3" fontId="13" fillId="51" borderId="34" xfId="136" applyNumberFormat="1" applyFont="1" applyFill="1" applyBorder="1" applyAlignment="1">
      <alignment horizontal="left" vertical="center"/>
    </xf>
    <xf numFmtId="0" fontId="11" fillId="46" borderId="91" xfId="128" applyFont="1" applyFill="1" applyBorder="1" applyAlignment="1">
      <alignment horizontal="center" vertical="center"/>
    </xf>
    <xf numFmtId="0" fontId="10" fillId="0" borderId="91" xfId="128" applyFont="1" applyBorder="1" applyAlignment="1">
      <alignment vertical="center"/>
    </xf>
    <xf numFmtId="0" fontId="13" fillId="0" borderId="91" xfId="132" applyFont="1" applyFill="1" applyBorder="1" applyAlignment="1">
      <alignment horizontal="center" vertical="center" wrapText="1"/>
    </xf>
    <xf numFmtId="3" fontId="13" fillId="0" borderId="13" xfId="136" applyNumberFormat="1" applyFont="1" applyFill="1" applyBorder="1" applyAlignment="1">
      <alignment horizontal="center" vertical="center"/>
    </xf>
    <xf numFmtId="0" fontId="12" fillId="0" borderId="91" xfId="0" applyFont="1" applyFill="1" applyBorder="1" applyAlignment="1">
      <alignment horizontal="center" vertical="center" wrapText="1"/>
    </xf>
    <xf numFmtId="0" fontId="12" fillId="0" borderId="91" xfId="128" applyFont="1" applyFill="1" applyBorder="1" applyAlignment="1">
      <alignment horizontal="center" vertical="center" wrapText="1"/>
    </xf>
    <xf numFmtId="0" fontId="58" fillId="0" borderId="91" xfId="0" applyFont="1" applyFill="1" applyBorder="1" applyAlignment="1">
      <alignment horizontal="center" vertical="center" wrapText="1"/>
    </xf>
    <xf numFmtId="0" fontId="4" fillId="0" borderId="92" xfId="0" applyFont="1" applyFill="1" applyBorder="1" applyAlignment="1">
      <alignment horizontal="center" vertical="center" wrapText="1"/>
    </xf>
    <xf numFmtId="0" fontId="10" fillId="49" borderId="91" xfId="128" applyFont="1" applyFill="1" applyBorder="1" applyAlignment="1">
      <alignment vertical="center"/>
    </xf>
    <xf numFmtId="0" fontId="12" fillId="46" borderId="91" xfId="128" applyFont="1" applyFill="1" applyBorder="1" applyAlignment="1">
      <alignment horizontal="center" vertical="center"/>
    </xf>
    <xf numFmtId="3" fontId="12" fillId="0" borderId="91" xfId="136" applyNumberFormat="1" applyFont="1" applyFill="1" applyBorder="1" applyAlignment="1">
      <alignment horizontal="center" vertical="center" wrapText="1"/>
    </xf>
    <xf numFmtId="0" fontId="0" fillId="0" borderId="91" xfId="0" applyFill="1" applyBorder="1" applyAlignment="1">
      <alignment horizontal="center"/>
    </xf>
    <xf numFmtId="0" fontId="10" fillId="0" borderId="91" xfId="0" applyFont="1" applyFill="1" applyBorder="1" applyAlignment="1">
      <alignment horizontal="center" wrapText="1"/>
    </xf>
    <xf numFmtId="3" fontId="13" fillId="0" borderId="91" xfId="136" applyNumberFormat="1" applyFont="1" applyFill="1" applyBorder="1" applyAlignment="1">
      <alignment horizontal="center" vertical="center" wrapText="1"/>
    </xf>
    <xf numFmtId="0" fontId="92" fillId="0" borderId="91" xfId="0" applyFont="1" applyFill="1" applyBorder="1" applyAlignment="1">
      <alignment horizontal="left" vertical="center"/>
    </xf>
    <xf numFmtId="0" fontId="58" fillId="46" borderId="13" xfId="0" applyFont="1" applyFill="1" applyBorder="1" applyAlignment="1">
      <alignment horizontal="center" vertical="center" wrapText="1"/>
    </xf>
    <xf numFmtId="0" fontId="4" fillId="46" borderId="33" xfId="0" applyFont="1" applyFill="1" applyBorder="1" applyAlignment="1">
      <alignment horizontal="center" vertical="center" wrapText="1"/>
    </xf>
    <xf numFmtId="3" fontId="12" fillId="46" borderId="13" xfId="136" applyNumberFormat="1" applyFont="1" applyFill="1" applyBorder="1" applyAlignment="1">
      <alignment horizontal="center" vertical="center" wrapText="1"/>
    </xf>
    <xf numFmtId="0" fontId="12" fillId="46" borderId="13" xfId="128" applyFont="1" applyFill="1" applyBorder="1" applyAlignment="1">
      <alignment horizontal="center" vertical="center"/>
    </xf>
    <xf numFmtId="3" fontId="13" fillId="0" borderId="86" xfId="0" applyNumberFormat="1" applyFont="1" applyBorder="1" applyAlignment="1">
      <alignment vertical="center"/>
    </xf>
    <xf numFmtId="3" fontId="8" fillId="0" borderId="85" xfId="0" applyNumberFormat="1" applyFont="1" applyBorder="1" applyAlignment="1">
      <alignment vertical="center"/>
    </xf>
    <xf numFmtId="3" fontId="8" fillId="49" borderId="85" xfId="0" applyNumberFormat="1" applyFont="1" applyFill="1" applyBorder="1" applyAlignment="1">
      <alignment vertical="center"/>
    </xf>
    <xf numFmtId="0" fontId="92" fillId="0" borderId="85" xfId="0" applyFont="1" applyFill="1" applyBorder="1" applyAlignment="1">
      <alignment horizontal="left" vertical="center"/>
    </xf>
    <xf numFmtId="3" fontId="19" fillId="0" borderId="85" xfId="132" applyNumberFormat="1" applyFont="1" applyFill="1" applyBorder="1" applyAlignment="1">
      <alignment horizontal="right" vertical="center" wrapText="1"/>
    </xf>
    <xf numFmtId="3" fontId="13" fillId="0" borderId="85" xfId="133" applyNumberFormat="1" applyFont="1" applyFill="1" applyBorder="1" applyAlignment="1">
      <alignment horizontal="right" vertical="center" wrapText="1"/>
    </xf>
    <xf numFmtId="3" fontId="13" fillId="0" borderId="85" xfId="133" applyNumberFormat="1" applyFont="1" applyFill="1" applyBorder="1" applyAlignment="1">
      <alignment horizontal="right" vertical="center"/>
    </xf>
    <xf numFmtId="3" fontId="13" fillId="0" borderId="85" xfId="133" applyNumberFormat="1" applyFont="1" applyBorder="1" applyAlignment="1">
      <alignment horizontal="right" vertical="center"/>
    </xf>
    <xf numFmtId="3" fontId="13" fillId="0" borderId="85" xfId="135" applyNumberFormat="1" applyFont="1" applyFill="1" applyBorder="1" applyAlignment="1">
      <alignment horizontal="right" vertical="center"/>
    </xf>
    <xf numFmtId="3" fontId="13" fillId="0" borderId="85" xfId="132" applyNumberFormat="1" applyFont="1" applyFill="1" applyBorder="1" applyAlignment="1">
      <alignment horizontal="right" vertical="center" wrapText="1"/>
    </xf>
    <xf numFmtId="3" fontId="10" fillId="0" borderId="85" xfId="136" applyNumberFormat="1" applyFont="1" applyFill="1" applyBorder="1" applyAlignment="1">
      <alignment horizontal="right" vertical="center" wrapText="1"/>
    </xf>
    <xf numFmtId="3" fontId="10" fillId="0" borderId="85" xfId="136" applyNumberFormat="1" applyFont="1" applyBorder="1" applyAlignment="1">
      <alignment horizontal="right" vertical="center" wrapText="1"/>
    </xf>
    <xf numFmtId="3" fontId="10" fillId="0" borderId="85" xfId="136" applyNumberFormat="1" applyFont="1" applyBorder="1" applyAlignment="1">
      <alignment horizontal="right" vertical="center"/>
    </xf>
    <xf numFmtId="3" fontId="11" fillId="0" borderId="85" xfId="136" applyNumberFormat="1" applyFont="1" applyFill="1" applyBorder="1" applyAlignment="1">
      <alignment horizontal="right" vertical="center" wrapText="1"/>
    </xf>
    <xf numFmtId="3" fontId="11" fillId="0" borderId="85" xfId="136" applyNumberFormat="1" applyFont="1" applyBorder="1" applyAlignment="1">
      <alignment horizontal="right" vertical="center" wrapText="1"/>
    </xf>
    <xf numFmtId="3" fontId="11" fillId="46" borderId="85" xfId="136" applyNumberFormat="1" applyFont="1" applyFill="1" applyBorder="1" applyAlignment="1">
      <alignment horizontal="right" vertical="center" wrapText="1"/>
    </xf>
    <xf numFmtId="3" fontId="11" fillId="0" borderId="13" xfId="136" applyNumberFormat="1" applyFont="1" applyBorder="1" applyAlignment="1">
      <alignment horizontal="right" vertical="center"/>
    </xf>
    <xf numFmtId="3" fontId="11" fillId="0" borderId="13" xfId="136" applyNumberFormat="1" applyFont="1" applyFill="1" applyBorder="1" applyAlignment="1">
      <alignment horizontal="right" vertical="center"/>
    </xf>
    <xf numFmtId="3" fontId="11" fillId="0" borderId="85" xfId="0" applyNumberFormat="1" applyFont="1" applyFill="1" applyBorder="1" applyAlignment="1">
      <alignment vertical="center" wrapText="1"/>
    </xf>
    <xf numFmtId="3" fontId="10" fillId="0" borderId="86" xfId="0" applyNumberFormat="1" applyFont="1" applyBorder="1" applyAlignment="1">
      <alignment vertical="center" wrapText="1"/>
    </xf>
    <xf numFmtId="3" fontId="10" fillId="0" borderId="85" xfId="0" applyNumberFormat="1" applyFont="1" applyFill="1" applyBorder="1" applyAlignment="1">
      <alignment vertical="center" wrapText="1"/>
    </xf>
    <xf numFmtId="3" fontId="11" fillId="46" borderId="85" xfId="0" applyNumberFormat="1" applyFont="1" applyFill="1" applyBorder="1" applyAlignment="1">
      <alignment vertical="center" wrapText="1"/>
    </xf>
    <xf numFmtId="0" fontId="13" fillId="0" borderId="85" xfId="0" applyFont="1" applyFill="1" applyBorder="1"/>
    <xf numFmtId="3" fontId="10" fillId="0" borderId="39" xfId="0" applyNumberFormat="1" applyFont="1" applyFill="1" applyBorder="1" applyAlignment="1">
      <alignment vertical="center" wrapText="1"/>
    </xf>
    <xf numFmtId="3" fontId="10" fillId="0" borderId="39" xfId="0" applyNumberFormat="1" applyFont="1" applyFill="1" applyBorder="1" applyAlignment="1">
      <alignment horizontal="left" vertical="center" wrapText="1"/>
    </xf>
    <xf numFmtId="0" fontId="13" fillId="0" borderId="13" xfId="134" applyFont="1" applyFill="1" applyBorder="1" applyAlignment="1">
      <alignment vertical="center"/>
    </xf>
    <xf numFmtId="3" fontId="10" fillId="0" borderId="36" xfId="129" applyNumberFormat="1" applyFont="1" applyFill="1" applyBorder="1" applyAlignment="1">
      <alignment horizontal="center" vertical="top" wrapText="1"/>
    </xf>
    <xf numFmtId="0" fontId="14" fillId="0" borderId="87" xfId="151" applyFont="1" applyBorder="1" applyAlignment="1">
      <alignment horizontal="left" vertical="top"/>
    </xf>
    <xf numFmtId="0" fontId="14" fillId="0" borderId="91" xfId="151" applyFont="1" applyBorder="1" applyAlignment="1">
      <alignment vertical="center"/>
    </xf>
    <xf numFmtId="0" fontId="13" fillId="0" borderId="91" xfId="151" applyFont="1" applyBorder="1" applyAlignment="1">
      <alignment vertical="center" wrapText="1"/>
    </xf>
    <xf numFmtId="3" fontId="10" fillId="0" borderId="91" xfId="151" applyNumberFormat="1" applyFont="1" applyBorder="1" applyAlignment="1">
      <alignment horizontal="right" vertical="center"/>
    </xf>
    <xf numFmtId="3" fontId="80" fillId="0" borderId="91" xfId="151" applyNumberFormat="1" applyFont="1" applyBorder="1" applyAlignment="1">
      <alignment horizontal="right" vertical="center"/>
    </xf>
    <xf numFmtId="167" fontId="13" fillId="0" borderId="91" xfId="177" applyNumberFormat="1" applyFont="1" applyBorder="1" applyAlignment="1">
      <alignment vertical="center"/>
    </xf>
    <xf numFmtId="165" fontId="10" fillId="0" borderId="91" xfId="151" applyNumberFormat="1" applyFont="1" applyBorder="1" applyAlignment="1">
      <alignment horizontal="right" vertical="center"/>
    </xf>
    <xf numFmtId="0" fontId="8" fillId="0" borderId="91" xfId="151" applyFont="1" applyBorder="1" applyAlignment="1">
      <alignment vertical="center"/>
    </xf>
    <xf numFmtId="4" fontId="10" fillId="0" borderId="91" xfId="151" applyNumberFormat="1" applyFont="1" applyFill="1" applyBorder="1" applyAlignment="1">
      <alignment horizontal="right" vertical="center"/>
    </xf>
    <xf numFmtId="3" fontId="10" fillId="0" borderId="91" xfId="151" applyNumberFormat="1" applyFont="1" applyFill="1" applyBorder="1" applyAlignment="1">
      <alignment horizontal="right" vertical="center"/>
    </xf>
    <xf numFmtId="167" fontId="13" fillId="0" borderId="91" xfId="177" applyNumberFormat="1" applyFont="1" applyFill="1" applyBorder="1" applyAlignment="1">
      <alignment vertical="center"/>
    </xf>
    <xf numFmtId="167" fontId="8" fillId="0" borderId="89" xfId="177" applyNumberFormat="1" applyFont="1" applyBorder="1" applyAlignment="1">
      <alignment vertical="center"/>
    </xf>
    <xf numFmtId="3" fontId="11" fillId="53" borderId="36" xfId="151" applyNumberFormat="1" applyFont="1" applyFill="1" applyBorder="1" applyAlignment="1">
      <alignment horizontal="right" vertical="center"/>
    </xf>
    <xf numFmtId="0" fontId="10" fillId="0" borderId="91" xfId="134" applyFont="1" applyBorder="1" applyAlignment="1">
      <alignment horizontal="center" vertical="center"/>
    </xf>
    <xf numFmtId="49" fontId="10" fillId="0" borderId="91" xfId="134" applyNumberFormat="1" applyFont="1" applyBorder="1" applyAlignment="1">
      <alignment horizontal="center" vertical="center" wrapText="1"/>
    </xf>
    <xf numFmtId="3" fontId="10" fillId="0" borderId="91" xfId="134" applyNumberFormat="1" applyFont="1" applyBorder="1" applyAlignment="1">
      <alignment vertical="center"/>
    </xf>
    <xf numFmtId="3" fontId="80" fillId="0" borderId="91" xfId="134" applyNumberFormat="1" applyFont="1" applyBorder="1" applyAlignment="1">
      <alignment vertical="center"/>
    </xf>
    <xf numFmtId="3" fontId="10" fillId="0" borderId="91" xfId="134" applyNumberFormat="1" applyFont="1" applyBorder="1" applyAlignment="1">
      <alignment horizontal="center" vertical="center" wrapText="1"/>
    </xf>
    <xf numFmtId="3" fontId="10" fillId="0" borderId="91" xfId="134" applyNumberFormat="1" applyFont="1" applyBorder="1" applyAlignment="1">
      <alignment vertical="center" wrapText="1"/>
    </xf>
    <xf numFmtId="3" fontId="80" fillId="0" borderId="91" xfId="134" applyNumberFormat="1" applyFont="1" applyBorder="1" applyAlignment="1">
      <alignment vertical="center" wrapText="1"/>
    </xf>
    <xf numFmtId="0" fontId="13" fillId="0" borderId="90" xfId="179" applyFont="1" applyBorder="1" applyAlignment="1">
      <alignment vertical="center" wrapText="1"/>
    </xf>
    <xf numFmtId="3" fontId="13" fillId="0" borderId="91" xfId="179" applyNumberFormat="1" applyFont="1" applyBorder="1" applyAlignment="1">
      <alignment horizontal="center" vertical="center" wrapText="1"/>
    </xf>
    <xf numFmtId="0" fontId="11" fillId="0" borderId="91" xfId="134" applyFont="1" applyBorder="1" applyAlignment="1">
      <alignment horizontal="center" vertical="center"/>
    </xf>
    <xf numFmtId="3" fontId="11" fillId="0" borderId="91" xfId="134" applyNumberFormat="1" applyFont="1" applyBorder="1" applyAlignment="1">
      <alignment vertical="center"/>
    </xf>
    <xf numFmtId="0" fontId="10" fillId="0" borderId="90" xfId="134" applyFont="1" applyBorder="1" applyAlignment="1">
      <alignment vertical="center"/>
    </xf>
    <xf numFmtId="3" fontId="12" fillId="0" borderId="91" xfId="0" applyNumberFormat="1" applyFont="1" applyBorder="1" applyAlignment="1">
      <alignment horizontal="center" vertical="center"/>
    </xf>
    <xf numFmtId="3" fontId="13" fillId="0" borderId="90" xfId="0" applyNumberFormat="1" applyFont="1" applyBorder="1" applyAlignment="1">
      <alignment horizontal="center" vertical="center"/>
    </xf>
    <xf numFmtId="0" fontId="13" fillId="0" borderId="90" xfId="0" applyFont="1" applyBorder="1" applyAlignment="1">
      <alignment horizontal="left" vertical="center" wrapText="1"/>
    </xf>
    <xf numFmtId="3" fontId="13" fillId="0" borderId="91" xfId="0" applyNumberFormat="1" applyFont="1" applyFill="1" applyBorder="1" applyAlignment="1">
      <alignment vertical="center"/>
    </xf>
    <xf numFmtId="3" fontId="13" fillId="0" borderId="91" xfId="0" applyNumberFormat="1" applyFont="1" applyBorder="1" applyAlignment="1">
      <alignment horizontal="right" vertical="center"/>
    </xf>
    <xf numFmtId="3" fontId="8" fillId="0" borderId="91" xfId="0" applyNumberFormat="1" applyFont="1" applyBorder="1" applyAlignment="1">
      <alignment vertical="center"/>
    </xf>
    <xf numFmtId="3" fontId="13" fillId="0" borderId="90" xfId="0" applyNumberFormat="1" applyFont="1" applyBorder="1" applyAlignment="1">
      <alignment vertical="center" wrapText="1"/>
    </xf>
    <xf numFmtId="3" fontId="13" fillId="0" borderId="91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center" vertical="center"/>
    </xf>
    <xf numFmtId="0" fontId="13" fillId="0" borderId="90" xfId="0" applyFont="1" applyBorder="1" applyAlignment="1">
      <alignment vertical="center" wrapText="1"/>
    </xf>
    <xf numFmtId="3" fontId="13" fillId="0" borderId="92" xfId="0" applyNumberFormat="1" applyFont="1" applyBorder="1" applyAlignment="1">
      <alignment horizontal="center" vertical="center"/>
    </xf>
    <xf numFmtId="0" fontId="13" fillId="0" borderId="82" xfId="0" applyFont="1" applyBorder="1" applyAlignment="1">
      <alignment vertical="center" wrapText="1"/>
    </xf>
    <xf numFmtId="3" fontId="12" fillId="51" borderId="91" xfId="0" applyNumberFormat="1" applyFont="1" applyFill="1" applyBorder="1" applyAlignment="1">
      <alignment horizontal="center" vertical="center"/>
    </xf>
    <xf numFmtId="3" fontId="12" fillId="51" borderId="90" xfId="0" applyNumberFormat="1" applyFont="1" applyFill="1" applyBorder="1" applyAlignment="1">
      <alignment horizontal="center" vertical="center"/>
    </xf>
    <xf numFmtId="0" fontId="13" fillId="0" borderId="87" xfId="0" applyFont="1" applyBorder="1" applyAlignment="1">
      <alignment vertical="center"/>
    </xf>
    <xf numFmtId="3" fontId="13" fillId="51" borderId="91" xfId="0" applyNumberFormat="1" applyFont="1" applyFill="1" applyBorder="1" applyAlignment="1">
      <alignment horizontal="right" vertical="center"/>
    </xf>
    <xf numFmtId="3" fontId="13" fillId="0" borderId="91" xfId="0" applyNumberFormat="1" applyFont="1" applyFill="1" applyBorder="1" applyAlignment="1">
      <alignment horizontal="right" vertical="center"/>
    </xf>
    <xf numFmtId="0" fontId="13" fillId="0" borderId="90" xfId="129" applyFont="1" applyFill="1" applyBorder="1" applyAlignment="1">
      <alignment vertical="center" wrapText="1"/>
    </xf>
    <xf numFmtId="3" fontId="13" fillId="0" borderId="87" xfId="0" applyNumberFormat="1" applyFont="1" applyBorder="1" applyAlignment="1">
      <alignment horizontal="right" vertical="center"/>
    </xf>
    <xf numFmtId="3" fontId="10" fillId="0" borderId="91" xfId="0" applyNumberFormat="1" applyFont="1" applyFill="1" applyBorder="1" applyAlignment="1">
      <alignment horizontal="center" vertical="center" wrapText="1"/>
    </xf>
    <xf numFmtId="3" fontId="10" fillId="0" borderId="91" xfId="0" applyNumberFormat="1" applyFont="1" applyFill="1" applyBorder="1" applyAlignment="1">
      <alignment vertical="center" wrapText="1"/>
    </xf>
    <xf numFmtId="3" fontId="8" fillId="0" borderId="85" xfId="0" applyNumberFormat="1" applyFont="1" applyFill="1" applyBorder="1" applyAlignment="1">
      <alignment vertical="center"/>
    </xf>
    <xf numFmtId="3" fontId="11" fillId="46" borderId="96" xfId="0" applyNumberFormat="1" applyFont="1" applyFill="1" applyBorder="1" applyAlignment="1">
      <alignment horizontal="center" vertical="center" wrapText="1"/>
    </xf>
    <xf numFmtId="3" fontId="11" fillId="0" borderId="92" xfId="0" applyNumberFormat="1" applyFont="1" applyFill="1" applyBorder="1" applyAlignment="1">
      <alignment vertical="center" wrapText="1"/>
    </xf>
    <xf numFmtId="3" fontId="11" fillId="46" borderId="20" xfId="0" applyNumberFormat="1" applyFont="1" applyFill="1" applyBorder="1" applyAlignment="1">
      <alignment horizontal="center" vertical="center" wrapText="1"/>
    </xf>
    <xf numFmtId="0" fontId="10" fillId="0" borderId="90" xfId="134" applyFont="1" applyBorder="1" applyAlignment="1">
      <alignment horizontal="center" vertical="center"/>
    </xf>
    <xf numFmtId="3" fontId="10" fillId="0" borderId="87" xfId="134" applyNumberFormat="1" applyFont="1" applyBorder="1" applyAlignment="1">
      <alignment vertical="center"/>
    </xf>
    <xf numFmtId="0" fontId="10" fillId="0" borderId="93" xfId="134" applyFont="1" applyBorder="1" applyAlignment="1">
      <alignment vertical="center" wrapText="1"/>
    </xf>
    <xf numFmtId="49" fontId="10" fillId="0" borderId="95" xfId="134" applyNumberFormat="1" applyFont="1" applyBorder="1" applyAlignment="1">
      <alignment horizontal="center" vertical="center" wrapText="1"/>
    </xf>
    <xf numFmtId="0" fontId="10" fillId="0" borderId="91" xfId="0" applyFont="1" applyBorder="1" applyAlignment="1">
      <alignment horizontal="left" vertical="top" wrapText="1"/>
    </xf>
    <xf numFmtId="0" fontId="10" fillId="0" borderId="91" xfId="134" applyFont="1" applyBorder="1" applyAlignment="1">
      <alignment vertical="center" wrapText="1"/>
    </xf>
    <xf numFmtId="3" fontId="13" fillId="0" borderId="93" xfId="0" applyNumberFormat="1" applyFont="1" applyBorder="1" applyAlignment="1">
      <alignment horizontal="left" vertical="center" wrapText="1"/>
    </xf>
    <xf numFmtId="0" fontId="13" fillId="0" borderId="95" xfId="0" applyFont="1" applyBorder="1" applyAlignment="1">
      <alignment vertical="center"/>
    </xf>
    <xf numFmtId="3" fontId="13" fillId="0" borderId="97" xfId="0" applyNumberFormat="1" applyFont="1" applyBorder="1" applyAlignment="1">
      <alignment vertical="center"/>
    </xf>
    <xf numFmtId="3" fontId="13" fillId="0" borderId="92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left" vertical="center"/>
    </xf>
    <xf numFmtId="0" fontId="13" fillId="52" borderId="90" xfId="131" applyFont="1" applyFill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 wrapText="1"/>
    </xf>
    <xf numFmtId="3" fontId="12" fillId="0" borderId="90" xfId="0" applyNumberFormat="1" applyFont="1" applyBorder="1" applyAlignment="1">
      <alignment horizontal="center" vertical="center"/>
    </xf>
    <xf numFmtId="3" fontId="10" fillId="0" borderId="90" xfId="168" applyNumberFormat="1" applyFont="1" applyBorder="1" applyAlignment="1">
      <alignment horizontal="left" vertical="center" wrapText="1"/>
    </xf>
    <xf numFmtId="49" fontId="13" fillId="0" borderId="90" xfId="167" applyNumberFormat="1" applyFont="1" applyBorder="1" applyAlignment="1">
      <alignment horizontal="left" vertical="center" wrapText="1"/>
    </xf>
    <xf numFmtId="0" fontId="10" fillId="0" borderId="97" xfId="134" applyFont="1" applyBorder="1" applyAlignment="1">
      <alignment vertical="center" wrapText="1"/>
    </xf>
    <xf numFmtId="49" fontId="10" fillId="0" borderId="92" xfId="134" applyNumberFormat="1" applyFont="1" applyBorder="1" applyAlignment="1">
      <alignment horizontal="center" vertical="center" wrapText="1"/>
    </xf>
    <xf numFmtId="3" fontId="10" fillId="0" borderId="53" xfId="159" applyNumberFormat="1" applyFont="1" applyBorder="1" applyAlignment="1">
      <alignment vertical="center" wrapText="1"/>
    </xf>
    <xf numFmtId="3" fontId="10" fillId="0" borderId="36" xfId="130" applyNumberFormat="1" applyFont="1" applyBorder="1" applyAlignment="1">
      <alignment vertical="center" wrapText="1"/>
    </xf>
    <xf numFmtId="3" fontId="13" fillId="0" borderId="91" xfId="129" applyNumberFormat="1" applyFont="1" applyBorder="1" applyAlignment="1">
      <alignment horizontal="center" vertical="center" wrapText="1"/>
    </xf>
    <xf numFmtId="3" fontId="93" fillId="0" borderId="91" xfId="129" applyNumberFormat="1" applyFont="1" applyBorder="1" applyAlignment="1">
      <alignment horizontal="center" vertical="center" wrapText="1"/>
    </xf>
    <xf numFmtId="0" fontId="10" fillId="0" borderId="37" xfId="161" applyFont="1" applyBorder="1" applyAlignment="1">
      <alignment vertical="center" wrapText="1"/>
    </xf>
    <xf numFmtId="3" fontId="8" fillId="0" borderId="82" xfId="0" applyNumberFormat="1" applyFont="1" applyBorder="1" applyAlignment="1">
      <alignment vertical="center"/>
    </xf>
    <xf numFmtId="3" fontId="13" fillId="0" borderId="90" xfId="0" applyNumberFormat="1" applyFont="1" applyBorder="1" applyAlignment="1">
      <alignment horizontal="left" vertical="center"/>
    </xf>
    <xf numFmtId="0" fontId="13" fillId="0" borderId="90" xfId="0" applyFont="1" applyBorder="1" applyAlignment="1">
      <alignment wrapText="1"/>
    </xf>
    <xf numFmtId="3" fontId="10" fillId="0" borderId="90" xfId="0" applyNumberFormat="1" applyFont="1" applyBorder="1" applyAlignment="1">
      <alignment vertical="center" wrapText="1"/>
    </xf>
    <xf numFmtId="3" fontId="13" fillId="0" borderId="87" xfId="0" applyNumberFormat="1" applyFont="1" applyBorder="1" applyAlignment="1">
      <alignment horizontal="right" vertical="center" wrapText="1"/>
    </xf>
    <xf numFmtId="3" fontId="12" fillId="0" borderId="87" xfId="0" applyNumberFormat="1" applyFont="1" applyBorder="1" applyAlignment="1">
      <alignment vertical="center"/>
    </xf>
    <xf numFmtId="3" fontId="13" fillId="0" borderId="90" xfId="157" applyNumberFormat="1" applyFont="1" applyBorder="1" applyAlignment="1">
      <alignment vertical="center" wrapText="1"/>
    </xf>
    <xf numFmtId="3" fontId="13" fillId="0" borderId="98" xfId="0" applyNumberFormat="1" applyFont="1" applyBorder="1" applyAlignment="1">
      <alignment vertical="center"/>
    </xf>
    <xf numFmtId="3" fontId="12" fillId="0" borderId="90" xfId="0" applyNumberFormat="1" applyFont="1" applyBorder="1" applyAlignment="1">
      <alignment horizontal="center" vertical="center" wrapText="1"/>
    </xf>
    <xf numFmtId="3" fontId="83" fillId="0" borderId="87" xfId="0" applyNumberFormat="1" applyFont="1" applyBorder="1" applyAlignment="1">
      <alignment vertical="center"/>
    </xf>
    <xf numFmtId="3" fontId="8" fillId="0" borderId="98" xfId="0" applyNumberFormat="1" applyFont="1" applyBorder="1" applyAlignment="1">
      <alignment vertical="center"/>
    </xf>
    <xf numFmtId="3" fontId="8" fillId="0" borderId="87" xfId="0" applyNumberFormat="1" applyFont="1" applyBorder="1" applyAlignment="1">
      <alignment vertical="center"/>
    </xf>
    <xf numFmtId="3" fontId="13" fillId="0" borderId="91" xfId="0" applyNumberFormat="1" applyFont="1" applyBorder="1" applyAlignment="1">
      <alignment horizontal="right" vertical="center" wrapText="1"/>
    </xf>
    <xf numFmtId="0" fontId="13" fillId="0" borderId="91" xfId="0" applyFont="1" applyBorder="1" applyAlignment="1">
      <alignment vertical="center"/>
    </xf>
    <xf numFmtId="3" fontId="12" fillId="0" borderId="101" xfId="0" applyNumberFormat="1" applyFont="1" applyBorder="1" applyAlignment="1">
      <alignment vertical="center"/>
    </xf>
    <xf numFmtId="0" fontId="10" fillId="0" borderId="90" xfId="156" applyFont="1" applyBorder="1" applyAlignment="1">
      <alignment vertical="center" wrapText="1"/>
    </xf>
    <xf numFmtId="0" fontId="10" fillId="0" borderId="91" xfId="84" applyNumberFormat="1" applyFont="1" applyFill="1" applyBorder="1" applyAlignment="1">
      <alignment horizontal="center" vertical="center"/>
    </xf>
    <xf numFmtId="0" fontId="10" fillId="0" borderId="91" xfId="129" applyFont="1" applyBorder="1" applyAlignment="1">
      <alignment horizontal="center" vertical="center" wrapText="1"/>
    </xf>
    <xf numFmtId="0" fontId="13" fillId="0" borderId="90" xfId="129" applyFont="1" applyBorder="1" applyAlignment="1">
      <alignment vertical="center" wrapText="1"/>
    </xf>
    <xf numFmtId="49" fontId="13" fillId="0" borderId="90" xfId="157" applyNumberFormat="1" applyFont="1" applyBorder="1" applyAlignment="1">
      <alignment horizontal="left" vertical="center" wrapText="1"/>
    </xf>
    <xf numFmtId="0" fontId="13" fillId="0" borderId="90" xfId="134" applyFont="1" applyBorder="1" applyAlignment="1">
      <alignment vertical="center" wrapText="1"/>
    </xf>
    <xf numFmtId="3" fontId="13" fillId="0" borderId="87" xfId="134" applyNumberFormat="1" applyFont="1" applyBorder="1" applyAlignment="1">
      <alignment horizontal="center" vertical="center"/>
    </xf>
    <xf numFmtId="0" fontId="79" fillId="49" borderId="37" xfId="176" applyFont="1" applyFill="1" applyBorder="1" applyAlignment="1">
      <alignment horizontal="center" vertical="center" wrapText="1"/>
    </xf>
    <xf numFmtId="0" fontId="79" fillId="49" borderId="63" xfId="176" applyFont="1" applyFill="1" applyBorder="1" applyAlignment="1">
      <alignment horizontal="center" vertical="center" wrapText="1"/>
    </xf>
    <xf numFmtId="0" fontId="12" fillId="49" borderId="36" xfId="151" applyFont="1" applyFill="1" applyBorder="1" applyAlignment="1">
      <alignment horizontal="center" vertical="center" wrapText="1"/>
    </xf>
    <xf numFmtId="0" fontId="79" fillId="49" borderId="64" xfId="176" applyFont="1" applyFill="1" applyBorder="1" applyAlignment="1">
      <alignment horizontal="center" vertical="center" wrapText="1"/>
    </xf>
    <xf numFmtId="0" fontId="4" fillId="46" borderId="31" xfId="0" applyFont="1" applyFill="1" applyBorder="1" applyAlignment="1">
      <alignment horizontal="center" vertical="center"/>
    </xf>
    <xf numFmtId="0" fontId="4" fillId="46" borderId="26" xfId="0" applyFont="1" applyFill="1" applyBorder="1" applyAlignment="1">
      <alignment horizontal="center" vertical="center"/>
    </xf>
    <xf numFmtId="0" fontId="12" fillId="46" borderId="13" xfId="127" applyFont="1" applyFill="1" applyBorder="1" applyAlignment="1">
      <alignment horizontal="center" vertical="center"/>
    </xf>
    <xf numFmtId="0" fontId="12" fillId="46" borderId="14" xfId="127" applyFont="1" applyFill="1" applyBorder="1" applyAlignment="1">
      <alignment horizontal="center" vertical="center"/>
    </xf>
    <xf numFmtId="0" fontId="58" fillId="46" borderId="13" xfId="0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/>
    </xf>
    <xf numFmtId="0" fontId="4" fillId="46" borderId="33" xfId="0" applyFont="1" applyFill="1" applyBorder="1" applyAlignment="1">
      <alignment horizontal="center" vertical="center"/>
    </xf>
    <xf numFmtId="0" fontId="11" fillId="46" borderId="33" xfId="154" applyFont="1" applyFill="1" applyBorder="1" applyAlignment="1">
      <alignment horizontal="center"/>
    </xf>
    <xf numFmtId="0" fontId="4" fillId="46" borderId="33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1" fillId="46" borderId="33" xfId="127" applyFont="1" applyFill="1" applyBorder="1" applyAlignment="1">
      <alignment horizontal="center" vertical="center"/>
    </xf>
    <xf numFmtId="0" fontId="12" fillId="46" borderId="13" xfId="0" applyFont="1" applyFill="1" applyBorder="1" applyAlignment="1">
      <alignment horizontal="center"/>
    </xf>
    <xf numFmtId="3" fontId="12" fillId="46" borderId="13" xfId="136" applyNumberFormat="1" applyFont="1" applyFill="1" applyBorder="1" applyAlignment="1">
      <alignment horizontal="center" vertical="center" wrapText="1"/>
    </xf>
    <xf numFmtId="0" fontId="13" fillId="0" borderId="90" xfId="0" applyFont="1" applyBorder="1" applyAlignment="1">
      <alignment horizontal="left" vertical="center" wrapText="1"/>
    </xf>
    <xf numFmtId="0" fontId="13" fillId="0" borderId="87" xfId="0" applyFont="1" applyBorder="1" applyAlignment="1">
      <alignment horizontal="left" vertical="center" wrapText="1"/>
    </xf>
    <xf numFmtId="3" fontId="12" fillId="46" borderId="90" xfId="0" applyNumberFormat="1" applyFont="1" applyFill="1" applyBorder="1" applyAlignment="1">
      <alignment horizontal="left" vertical="center"/>
    </xf>
    <xf numFmtId="3" fontId="12" fillId="46" borderId="87" xfId="0" applyNumberFormat="1" applyFont="1" applyFill="1" applyBorder="1" applyAlignment="1">
      <alignment horizontal="left" vertical="center"/>
    </xf>
    <xf numFmtId="0" fontId="13" fillId="0" borderId="90" xfId="0" applyFont="1" applyFill="1" applyBorder="1" applyAlignment="1">
      <alignment horizontal="left" vertical="center" wrapText="1"/>
    </xf>
    <xf numFmtId="0" fontId="13" fillId="0" borderId="87" xfId="0" applyFont="1" applyFill="1" applyBorder="1" applyAlignment="1">
      <alignment horizontal="left" vertical="center" wrapText="1"/>
    </xf>
    <xf numFmtId="0" fontId="13" fillId="0" borderId="90" xfId="161" applyFont="1" applyBorder="1" applyAlignment="1">
      <alignment horizontal="left" vertical="center"/>
    </xf>
    <xf numFmtId="0" fontId="13" fillId="0" borderId="87" xfId="161" applyFont="1" applyBorder="1" applyAlignment="1">
      <alignment horizontal="left" vertical="center"/>
    </xf>
    <xf numFmtId="0" fontId="13" fillId="0" borderId="90" xfId="0" applyFont="1" applyBorder="1" applyAlignment="1">
      <alignment horizontal="left" vertical="center"/>
    </xf>
    <xf numFmtId="0" fontId="13" fillId="0" borderId="87" xfId="0" applyFont="1" applyBorder="1" applyAlignment="1">
      <alignment horizontal="left" vertical="center"/>
    </xf>
    <xf numFmtId="0" fontId="13" fillId="0" borderId="97" xfId="0" applyFont="1" applyBorder="1" applyAlignment="1">
      <alignment horizontal="left" vertical="center" wrapText="1"/>
    </xf>
    <xf numFmtId="0" fontId="13" fillId="0" borderId="98" xfId="0" applyFont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/>
    </xf>
    <xf numFmtId="3" fontId="13" fillId="0" borderId="87" xfId="0" applyNumberFormat="1" applyFont="1" applyBorder="1" applyAlignment="1">
      <alignment horizontal="left" vertical="center"/>
    </xf>
    <xf numFmtId="0" fontId="13" fillId="0" borderId="90" xfId="171" applyFont="1" applyBorder="1" applyAlignment="1">
      <alignment horizontal="center" vertical="center"/>
    </xf>
    <xf numFmtId="0" fontId="13" fillId="0" borderId="87" xfId="171" applyFont="1" applyBorder="1" applyAlignment="1">
      <alignment horizontal="center" vertical="center"/>
    </xf>
    <xf numFmtId="0" fontId="13" fillId="0" borderId="90" xfId="161" applyFont="1" applyBorder="1" applyAlignment="1">
      <alignment horizontal="left" vertical="center" wrapText="1"/>
    </xf>
    <xf numFmtId="0" fontId="13" fillId="0" borderId="87" xfId="161" applyFont="1" applyBorder="1" applyAlignment="1">
      <alignment horizontal="left" vertical="center" wrapText="1"/>
    </xf>
    <xf numFmtId="0" fontId="12" fillId="46" borderId="39" xfId="0" applyFont="1" applyFill="1" applyBorder="1" applyAlignment="1">
      <alignment horizontal="center" vertical="center" wrapText="1"/>
    </xf>
    <xf numFmtId="0" fontId="12" fillId="46" borderId="21" xfId="0" applyFont="1" applyFill="1" applyBorder="1" applyAlignment="1">
      <alignment horizontal="center" vertical="center" wrapText="1"/>
    </xf>
    <xf numFmtId="3" fontId="8" fillId="0" borderId="0" xfId="0" applyNumberFormat="1" applyFont="1" applyAlignment="1">
      <alignment horizontal="left" vertical="center"/>
    </xf>
    <xf numFmtId="3" fontId="15" fillId="46" borderId="31" xfId="136" applyNumberFormat="1" applyFont="1" applyFill="1" applyBorder="1" applyAlignment="1">
      <alignment horizontal="center" vertical="center" wrapText="1"/>
    </xf>
    <xf numFmtId="3" fontId="15" fillId="46" borderId="26" xfId="136" applyNumberFormat="1" applyFont="1" applyFill="1" applyBorder="1" applyAlignment="1">
      <alignment horizontal="center" vertical="center" wrapText="1"/>
    </xf>
    <xf numFmtId="3" fontId="15" fillId="46" borderId="31" xfId="136" applyNumberFormat="1" applyFont="1" applyFill="1" applyBorder="1" applyAlignment="1">
      <alignment horizontal="center" vertical="center"/>
    </xf>
    <xf numFmtId="3" fontId="15" fillId="46" borderId="26" xfId="136" applyNumberFormat="1" applyFont="1" applyFill="1" applyBorder="1" applyAlignment="1">
      <alignment horizontal="center" vertical="center"/>
    </xf>
    <xf numFmtId="3" fontId="15" fillId="46" borderId="57" xfId="136" applyNumberFormat="1" applyFont="1" applyFill="1" applyBorder="1" applyAlignment="1">
      <alignment horizontal="center" vertical="center" textRotation="90" wrapText="1"/>
    </xf>
    <xf numFmtId="3" fontId="15" fillId="46" borderId="25" xfId="136" applyNumberFormat="1" applyFont="1" applyFill="1" applyBorder="1" applyAlignment="1">
      <alignment horizontal="center" vertical="center" textRotation="90" wrapText="1"/>
    </xf>
    <xf numFmtId="3" fontId="15" fillId="46" borderId="39" xfId="136" applyNumberFormat="1" applyFont="1" applyFill="1" applyBorder="1" applyAlignment="1">
      <alignment horizontal="center" vertical="center" wrapText="1"/>
    </xf>
    <xf numFmtId="3" fontId="15" fillId="46" borderId="21" xfId="136" applyNumberFormat="1" applyFont="1" applyFill="1" applyBorder="1" applyAlignment="1">
      <alignment horizontal="center" vertical="center" wrapText="1"/>
    </xf>
    <xf numFmtId="0" fontId="12" fillId="46" borderId="52" xfId="0" applyFont="1" applyFill="1" applyBorder="1" applyAlignment="1">
      <alignment horizontal="center" vertical="center"/>
    </xf>
    <xf numFmtId="0" fontId="12" fillId="46" borderId="40" xfId="0" applyFont="1" applyFill="1" applyBorder="1" applyAlignment="1">
      <alignment horizontal="center" vertical="center"/>
    </xf>
    <xf numFmtId="0" fontId="12" fillId="46" borderId="37" xfId="0" applyFont="1" applyFill="1" applyBorder="1" applyAlignment="1">
      <alignment horizontal="center" vertical="center"/>
    </xf>
    <xf numFmtId="0" fontId="13" fillId="0" borderId="93" xfId="0" applyFont="1" applyBorder="1" applyAlignment="1">
      <alignment horizontal="left" vertical="center" wrapText="1"/>
    </xf>
    <xf numFmtId="0" fontId="13" fillId="0" borderId="94" xfId="0" applyFont="1" applyBorder="1" applyAlignment="1">
      <alignment horizontal="left" vertical="center" wrapText="1"/>
    </xf>
    <xf numFmtId="0" fontId="10" fillId="0" borderId="99" xfId="0" applyFont="1" applyBorder="1" applyAlignment="1">
      <alignment horizontal="left" vertical="top" wrapText="1"/>
    </xf>
    <xf numFmtId="0" fontId="10" fillId="0" borderId="100" xfId="0" applyFont="1" applyBorder="1" applyAlignment="1">
      <alignment horizontal="left" vertical="top" wrapText="1"/>
    </xf>
    <xf numFmtId="0" fontId="13" fillId="0" borderId="90" xfId="129" applyFont="1" applyFill="1" applyBorder="1" applyAlignment="1">
      <alignment horizontal="left" vertical="center" wrapText="1"/>
    </xf>
    <xf numFmtId="0" fontId="13" fillId="0" borderId="87" xfId="129" applyFont="1" applyFill="1" applyBorder="1" applyAlignment="1">
      <alignment horizontal="left" vertical="center" wrapText="1"/>
    </xf>
    <xf numFmtId="3" fontId="13" fillId="0" borderId="90" xfId="0" applyNumberFormat="1" applyFont="1" applyBorder="1" applyAlignment="1">
      <alignment horizontal="left" vertical="center" wrapText="1"/>
    </xf>
    <xf numFmtId="3" fontId="13" fillId="0" borderId="87" xfId="0" applyNumberFormat="1" applyFont="1" applyBorder="1" applyAlignment="1">
      <alignment horizontal="left" vertical="center" wrapText="1"/>
    </xf>
    <xf numFmtId="0" fontId="11" fillId="49" borderId="91" xfId="128" applyFont="1" applyFill="1" applyBorder="1" applyAlignment="1">
      <alignment vertical="center" wrapText="1"/>
    </xf>
    <xf numFmtId="0" fontId="11" fillId="49" borderId="91" xfId="0" applyFont="1" applyFill="1" applyBorder="1" applyAlignment="1">
      <alignment wrapText="1"/>
    </xf>
    <xf numFmtId="0" fontId="58" fillId="46" borderId="95" xfId="0" applyFont="1" applyFill="1" applyBorder="1" applyAlignment="1">
      <alignment horizontal="center" vertical="center" wrapText="1"/>
    </xf>
    <xf numFmtId="0" fontId="58" fillId="46" borderId="92" xfId="0" applyFont="1" applyFill="1" applyBorder="1" applyAlignment="1">
      <alignment horizontal="center" vertical="center" wrapText="1"/>
    </xf>
    <xf numFmtId="0" fontId="12" fillId="49" borderId="91" xfId="0" applyFont="1" applyFill="1" applyBorder="1" applyAlignment="1">
      <alignment horizontal="center" vertical="center" wrapText="1"/>
    </xf>
    <xf numFmtId="0" fontId="12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2" fillId="46" borderId="95" xfId="136" applyNumberFormat="1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3" fontId="12" fillId="0" borderId="90" xfId="0" applyNumberFormat="1" applyFont="1" applyBorder="1" applyAlignment="1">
      <alignment horizontal="center" vertical="center"/>
    </xf>
    <xf numFmtId="3" fontId="12" fillId="0" borderId="87" xfId="0" applyNumberFormat="1" applyFont="1" applyBorder="1" applyAlignment="1">
      <alignment horizontal="center" vertical="center"/>
    </xf>
    <xf numFmtId="3" fontId="10" fillId="0" borderId="90" xfId="168" applyNumberFormat="1" applyFont="1" applyBorder="1" applyAlignment="1">
      <alignment horizontal="left" vertical="center" wrapText="1"/>
    </xf>
    <xf numFmtId="3" fontId="10" fillId="0" borderId="87" xfId="168" applyNumberFormat="1" applyFont="1" applyBorder="1" applyAlignment="1">
      <alignment horizontal="left" vertical="center" wrapText="1"/>
    </xf>
    <xf numFmtId="0" fontId="13" fillId="0" borderId="91" xfId="0" applyFont="1" applyBorder="1" applyAlignment="1">
      <alignment horizontal="left" vertical="top" wrapText="1"/>
    </xf>
    <xf numFmtId="49" fontId="13" fillId="0" borderId="90" xfId="167" applyNumberFormat="1" applyFont="1" applyBorder="1" applyAlignment="1">
      <alignment horizontal="left" vertical="center" wrapText="1"/>
    </xf>
    <xf numFmtId="49" fontId="13" fillId="0" borderId="87" xfId="167" applyNumberFormat="1" applyFont="1" applyBorder="1" applyAlignment="1">
      <alignment horizontal="left" vertical="center" wrapText="1"/>
    </xf>
    <xf numFmtId="0" fontId="13" fillId="52" borderId="90" xfId="131" applyFont="1" applyFill="1" applyBorder="1" applyAlignment="1">
      <alignment horizontal="left" vertical="center" wrapText="1"/>
    </xf>
    <xf numFmtId="0" fontId="13" fillId="52" borderId="87" xfId="131" applyFont="1" applyFill="1" applyBorder="1" applyAlignment="1">
      <alignment horizontal="left" vertical="center" wrapText="1"/>
    </xf>
    <xf numFmtId="3" fontId="12" fillId="0" borderId="90" xfId="0" applyNumberFormat="1" applyFont="1" applyBorder="1" applyAlignment="1">
      <alignment horizontal="left" vertical="center"/>
    </xf>
    <xf numFmtId="3" fontId="12" fillId="0" borderId="87" xfId="0" applyNumberFormat="1" applyFont="1" applyBorder="1" applyAlignment="1">
      <alignment horizontal="left" vertical="center"/>
    </xf>
    <xf numFmtId="3" fontId="12" fillId="49" borderId="95" xfId="0" applyNumberFormat="1" applyFont="1" applyFill="1" applyBorder="1" applyAlignment="1">
      <alignment horizontal="center" vertical="center" wrapText="1"/>
    </xf>
    <xf numFmtId="3" fontId="12" fillId="49" borderId="92" xfId="0" applyNumberFormat="1" applyFont="1" applyFill="1" applyBorder="1" applyAlignment="1">
      <alignment horizontal="center" vertical="center" wrapText="1"/>
    </xf>
    <xf numFmtId="0" fontId="4" fillId="46" borderId="24" xfId="0" applyFont="1" applyFill="1" applyBorder="1" applyAlignment="1">
      <alignment horizontal="center" vertical="center" wrapText="1"/>
    </xf>
    <xf numFmtId="0" fontId="4" fillId="46" borderId="21" xfId="0" applyFont="1" applyFill="1" applyBorder="1" applyAlignment="1">
      <alignment horizontal="center" vertical="center" wrapText="1"/>
    </xf>
  </cellXfs>
  <cellStyles count="180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3" xr:uid="{00000000-0005-0000-0000-000055000000}"/>
    <cellStyle name="Ezres 4" xfId="175" xr:uid="{00000000-0005-0000-0000-000056000000}"/>
    <cellStyle name="Ezres 5" xfId="177" xr:uid="{00000000-0005-0000-0000-000057000000}"/>
    <cellStyle name="Ezres 6" xfId="178" xr:uid="{00000000-0005-0000-0000-000058000000}"/>
    <cellStyle name="Figyelmeztetés" xfId="86" builtinId="11" customBuiltin="1"/>
    <cellStyle name="Figyelmeztetés 2" xfId="87" xr:uid="{00000000-0005-0000-0000-00005A000000}"/>
    <cellStyle name="Good" xfId="88" xr:uid="{00000000-0005-0000-0000-00005B000000}"/>
    <cellStyle name="Heading 1" xfId="89" xr:uid="{00000000-0005-0000-0000-00005C000000}"/>
    <cellStyle name="Heading 2" xfId="90" xr:uid="{00000000-0005-0000-0000-00005D000000}"/>
    <cellStyle name="Heading 3" xfId="91" xr:uid="{00000000-0005-0000-0000-00005E000000}"/>
    <cellStyle name="Heading 4" xfId="92" xr:uid="{00000000-0005-0000-0000-00005F000000}"/>
    <cellStyle name="Hivatkozott cella" xfId="93" builtinId="24" customBuiltin="1"/>
    <cellStyle name="Hivatkozott cella 2" xfId="94" xr:uid="{00000000-0005-0000-0000-000061000000}"/>
    <cellStyle name="Input" xfId="95" xr:uid="{00000000-0005-0000-0000-000062000000}"/>
    <cellStyle name="Jegyzet" xfId="96" builtinId="10" customBuiltin="1"/>
    <cellStyle name="Jegyzet 2" xfId="97" xr:uid="{00000000-0005-0000-0000-000064000000}"/>
    <cellStyle name="Jelölőszín (1)" xfId="98" xr:uid="{00000000-0005-0000-0000-000065000000}"/>
    <cellStyle name="Jelölőszín (1) 2" xfId="99" xr:uid="{00000000-0005-0000-0000-000066000000}"/>
    <cellStyle name="Jelölőszín (2)" xfId="100" xr:uid="{00000000-0005-0000-0000-000067000000}"/>
    <cellStyle name="Jelölőszín (2) 2" xfId="101" xr:uid="{00000000-0005-0000-0000-000068000000}"/>
    <cellStyle name="Jelölőszín (3)" xfId="102" xr:uid="{00000000-0005-0000-0000-000069000000}"/>
    <cellStyle name="Jelölőszín (3) 2" xfId="103" xr:uid="{00000000-0005-0000-0000-00006A000000}"/>
    <cellStyle name="Jelölőszín (4)" xfId="104" xr:uid="{00000000-0005-0000-0000-00006B000000}"/>
    <cellStyle name="Jelölőszín (4) 2" xfId="105" xr:uid="{00000000-0005-0000-0000-00006C000000}"/>
    <cellStyle name="Jelölőszín (5)" xfId="106" xr:uid="{00000000-0005-0000-0000-00006D000000}"/>
    <cellStyle name="Jelölőszín (5) 2" xfId="107" xr:uid="{00000000-0005-0000-0000-00006E000000}"/>
    <cellStyle name="Jelölőszín (6)" xfId="108" xr:uid="{00000000-0005-0000-0000-00006F000000}"/>
    <cellStyle name="Jelölőszín (6) 2" xfId="109" xr:uid="{00000000-0005-0000-0000-000070000000}"/>
    <cellStyle name="Jelölőszín 1" xfId="110" xr:uid="{00000000-0005-0000-0000-000071000000}"/>
    <cellStyle name="Jelölőszín 2" xfId="111" xr:uid="{00000000-0005-0000-0000-000072000000}"/>
    <cellStyle name="Jelölőszín 3" xfId="112" xr:uid="{00000000-0005-0000-0000-000073000000}"/>
    <cellStyle name="Jelölőszín 4" xfId="113" xr:uid="{00000000-0005-0000-0000-000074000000}"/>
    <cellStyle name="Jelölőszín 5" xfId="114" xr:uid="{00000000-0005-0000-0000-000075000000}"/>
    <cellStyle name="Jelölőszín 6" xfId="115" xr:uid="{00000000-0005-0000-0000-000076000000}"/>
    <cellStyle name="Jó" xfId="116" builtinId="26" customBuiltin="1"/>
    <cellStyle name="Jó 2" xfId="117" xr:uid="{00000000-0005-0000-0000-000078000000}"/>
    <cellStyle name="Kimenet" xfId="118" builtinId="21" customBuiltin="1"/>
    <cellStyle name="Kimenet 2" xfId="119" xr:uid="{00000000-0005-0000-0000-00007A000000}"/>
    <cellStyle name="Linked Cell" xfId="120" xr:uid="{00000000-0005-0000-0000-00007B000000}"/>
    <cellStyle name="Magyarázó szöveg" xfId="121" builtinId="53" customBuiltin="1"/>
    <cellStyle name="Magyarázó szöveg 2" xfId="122" xr:uid="{00000000-0005-0000-0000-00007D000000}"/>
    <cellStyle name="Neutral" xfId="123" xr:uid="{00000000-0005-0000-0000-00007E000000}"/>
    <cellStyle name="Normál" xfId="0" builtinId="0"/>
    <cellStyle name="Normál 2" xfId="124" xr:uid="{00000000-0005-0000-0000-000080000000}"/>
    <cellStyle name="Normál 3" xfId="125" xr:uid="{00000000-0005-0000-0000-000081000000}"/>
    <cellStyle name="Normál 4" xfId="126" xr:uid="{00000000-0005-0000-0000-000082000000}"/>
    <cellStyle name="Normál 5" xfId="152" xr:uid="{00000000-0005-0000-0000-000083000000}"/>
    <cellStyle name="Normál 5 2" xfId="174" xr:uid="{00000000-0005-0000-0000-000084000000}"/>
    <cellStyle name="Normál 5 3" xfId="176" xr:uid="{00000000-0005-0000-0000-000085000000}"/>
    <cellStyle name="Normál_   5    (2)" xfId="127" xr:uid="{00000000-0005-0000-0000-000086000000}"/>
    <cellStyle name="Normál_   5    (2)_KÖLTSÉGVETÉS 2015 intézmények " xfId="128" xr:uid="{00000000-0005-0000-0000-000087000000}"/>
    <cellStyle name="Normál_   5-a    (2)" xfId="154" xr:uid="{00000000-0005-0000-0000-000088000000}"/>
    <cellStyle name="Normál_   7   x" xfId="129" xr:uid="{00000000-0005-0000-0000-000089000000}"/>
    <cellStyle name="Normál_   7   x_2012. III.negyedévi ei. módosítás" xfId="159" xr:uid="{00000000-0005-0000-0000-00008A000000}"/>
    <cellStyle name="Normál_   7   x_2012. III.negyedévi ei. módosítás_Intézményi táblák" xfId="130" xr:uid="{00000000-0005-0000-0000-00008B000000}"/>
    <cellStyle name="Normál_   7   x_2014_ktsv tervezet_btcs_6.a" xfId="170" xr:uid="{00000000-0005-0000-0000-00008C000000}"/>
    <cellStyle name="Normál_   7   x_Másolat eredetije2014. műk-beru-felúj. 2" xfId="131" xr:uid="{00000000-0005-0000-0000-00008D000000}"/>
    <cellStyle name="Normál_   7   x_Másolat eredetije2014. műk-beru-felúj._2017. KÖLTSÉGVETÉS" xfId="173" xr:uid="{00000000-0005-0000-0000-00008E000000}"/>
    <cellStyle name="Normál_   7   x_Másolat eredetije2014. műk-beru-felúj._6.a" xfId="161" xr:uid="{00000000-0005-0000-0000-00008F000000}"/>
    <cellStyle name="Normál_  3   _2010.évi állami_állami  tám." xfId="151" xr:uid="{00000000-0005-0000-0000-000090000000}"/>
    <cellStyle name="Normál_2001.évi költségvkoncepció" xfId="165" xr:uid="{00000000-0005-0000-0000-000091000000}"/>
    <cellStyle name="Normál_2012. évi beszámoló 5.a 6a" xfId="163" xr:uid="{00000000-0005-0000-0000-000092000000}"/>
    <cellStyle name="Normál_213_évi_költségvetés_MCS" xfId="157" xr:uid="{00000000-0005-0000-0000-000093000000}"/>
    <cellStyle name="Normál_213_évi_költségvetés_MCS_2016. IV.névi módosítás" xfId="164" xr:uid="{00000000-0005-0000-0000-000094000000}"/>
    <cellStyle name="Normál_3" xfId="162" xr:uid="{00000000-0005-0000-0000-000095000000}"/>
    <cellStyle name="Normál_eredeti biz.után" xfId="160" xr:uid="{00000000-0005-0000-0000-000096000000}"/>
    <cellStyle name="Normál_Intézmények 2014" xfId="132" xr:uid="{00000000-0005-0000-0000-000097000000}"/>
    <cellStyle name="Normál_INTKIA96" xfId="133" xr:uid="{00000000-0005-0000-0000-000098000000}"/>
    <cellStyle name="Normál_Másolat eredetije2014. műk-beru-felúj." xfId="168" xr:uid="{00000000-0005-0000-0000-000099000000}"/>
    <cellStyle name="Normál_Munka2 (2)" xfId="134" xr:uid="{00000000-0005-0000-0000-00009A000000}"/>
    <cellStyle name="Normál_Munka2 (2) 2" xfId="179" xr:uid="{00000000-0005-0000-0000-00009B000000}"/>
    <cellStyle name="Normál_Munka2 (2)_KÖLTSÉGVETÉS 2015 intézmények " xfId="135" xr:uid="{00000000-0005-0000-0000-00009C000000}"/>
    <cellStyle name="Normál_Munka2 (2)_KÖLTSÉGVETÉS_2015." xfId="156" xr:uid="{00000000-0005-0000-0000-00009D000000}"/>
    <cellStyle name="Normál_Munka3 (2)" xfId="155" xr:uid="{00000000-0005-0000-0000-00009E000000}"/>
    <cellStyle name="Normál_Munka3 (2)_Másolat eredetije2014. műk-beru-felúj." xfId="158" xr:uid="{00000000-0005-0000-0000-00009F000000}"/>
    <cellStyle name="Normál_Munka3 (2)_Másolat eredetije2014. műk-beru-felúj._2016. IV.névi módosítás" xfId="166" xr:uid="{00000000-0005-0000-0000-0000A0000000}"/>
    <cellStyle name="Normál_Munka3 (2)_Másolat eredetije2014. műk-beru-felúj._2017.KÖLTSÉGVETÉS" xfId="172" xr:uid="{00000000-0005-0000-0000-0000A1000000}"/>
    <cellStyle name="Normál_Munka3 (2)_Másolat eredetije2014. műk-beru-felúj._2018. I.névi ei-módosítás" xfId="169" xr:uid="{00000000-0005-0000-0000-0000A2000000}"/>
    <cellStyle name="Normál_Munka3 (2)_Másolat eredetije2014. műk-beru-felúj._6.a" xfId="171" xr:uid="{00000000-0005-0000-0000-0000A3000000}"/>
    <cellStyle name="Normál_Műszaki Osztály fejlesztés2016" xfId="167" xr:uid="{00000000-0005-0000-0000-0000A4000000}"/>
    <cellStyle name="Normál_ÖKIADELÖ" xfId="136" xr:uid="{00000000-0005-0000-0000-0000A5000000}"/>
    <cellStyle name="Normal_tanusitv" xfId="137" xr:uid="{00000000-0005-0000-0000-0000A6000000}"/>
    <cellStyle name="Note" xfId="138" xr:uid="{00000000-0005-0000-0000-0000A7000000}"/>
    <cellStyle name="Output" xfId="139" xr:uid="{00000000-0005-0000-0000-0000A8000000}"/>
    <cellStyle name="Összesen" xfId="140" builtinId="25" customBuiltin="1"/>
    <cellStyle name="Összesen 2" xfId="141" xr:uid="{00000000-0005-0000-0000-0000AA000000}"/>
    <cellStyle name="Rossz" xfId="142" builtinId="27" customBuiltin="1"/>
    <cellStyle name="Rossz 2" xfId="143" xr:uid="{00000000-0005-0000-0000-0000AC000000}"/>
    <cellStyle name="Semleges" xfId="144" builtinId="28" customBuiltin="1"/>
    <cellStyle name="Semleges 2" xfId="145" xr:uid="{00000000-0005-0000-0000-0000AE000000}"/>
    <cellStyle name="Számítás" xfId="146" builtinId="22" customBuiltin="1"/>
    <cellStyle name="Számítás 2" xfId="147" xr:uid="{00000000-0005-0000-0000-0000B0000000}"/>
    <cellStyle name="Title" xfId="148" xr:uid="{00000000-0005-0000-0000-0000B1000000}"/>
    <cellStyle name="Total" xfId="149" xr:uid="{00000000-0005-0000-0000-0000B2000000}"/>
    <cellStyle name="Warning Text" xfId="150" xr:uid="{00000000-0005-0000-0000-0000B3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opLeftCell="A7" workbookViewId="0">
      <selection activeCell="C21" sqref="C21"/>
    </sheetView>
  </sheetViews>
  <sheetFormatPr defaultColWidth="9.33203125" defaultRowHeight="11.4" x14ac:dyDescent="0.2"/>
  <cols>
    <col min="1" max="1" width="45.109375" style="21" customWidth="1"/>
    <col min="2" max="2" width="13" style="21" customWidth="1"/>
    <col min="3" max="3" width="13.6640625" style="21" customWidth="1"/>
    <col min="4" max="4" width="12.6640625" style="1" customWidth="1"/>
    <col min="5" max="5" width="2" style="18" customWidth="1"/>
    <col min="6" max="6" width="44.77734375" style="21" customWidth="1"/>
    <col min="7" max="7" width="14.109375" style="21" customWidth="1"/>
    <col min="8" max="8" width="13.77734375" style="21" customWidth="1"/>
    <col min="9" max="9" width="12.44140625" style="1" customWidth="1"/>
    <col min="10" max="16384" width="9.33203125" style="19"/>
  </cols>
  <sheetData>
    <row r="1" spans="1:9" s="16" customFormat="1" ht="39.9" customHeight="1" thickBot="1" x14ac:dyDescent="0.25">
      <c r="A1" s="32"/>
      <c r="B1" s="34" t="s">
        <v>1012</v>
      </c>
      <c r="C1" s="33" t="s">
        <v>1263</v>
      </c>
      <c r="D1" s="34" t="s">
        <v>1265</v>
      </c>
      <c r="E1" s="35"/>
      <c r="F1" s="32" t="s">
        <v>128</v>
      </c>
      <c r="G1" s="34" t="s">
        <v>1012</v>
      </c>
      <c r="H1" s="33" t="s">
        <v>1263</v>
      </c>
      <c r="I1" s="34" t="s">
        <v>1265</v>
      </c>
    </row>
    <row r="2" spans="1:9" s="17" customFormat="1" ht="12.9" customHeight="1" x14ac:dyDescent="0.2">
      <c r="A2" s="36" t="s">
        <v>174</v>
      </c>
      <c r="B2" s="14"/>
      <c r="C2" s="37"/>
      <c r="D2" s="14"/>
      <c r="E2" s="38"/>
      <c r="F2" s="36" t="s">
        <v>175</v>
      </c>
      <c r="G2" s="13"/>
      <c r="H2" s="36"/>
      <c r="I2" s="13"/>
    </row>
    <row r="3" spans="1:9" ht="24.9" customHeight="1" x14ac:dyDescent="0.2">
      <c r="A3" s="39" t="s">
        <v>68</v>
      </c>
      <c r="B3" s="10">
        <v>6743451</v>
      </c>
      <c r="C3" s="39">
        <v>1259703</v>
      </c>
      <c r="D3" s="10">
        <f>SUM(B3:C3)</f>
        <v>8003154</v>
      </c>
      <c r="E3" s="40"/>
      <c r="F3" s="39" t="s">
        <v>203</v>
      </c>
      <c r="G3" s="12">
        <v>9210845</v>
      </c>
      <c r="H3" s="39">
        <v>8417</v>
      </c>
      <c r="I3" s="12">
        <f>SUM(G3:H3)</f>
        <v>9219262</v>
      </c>
    </row>
    <row r="4" spans="1:9" ht="15" customHeight="1" x14ac:dyDescent="0.2">
      <c r="A4" s="39" t="s">
        <v>70</v>
      </c>
      <c r="B4" s="10">
        <v>4963000</v>
      </c>
      <c r="C4" s="39">
        <v>26000</v>
      </c>
      <c r="D4" s="10">
        <f t="shared" ref="D4:D5" si="0">SUM(B4:C4)</f>
        <v>4989000</v>
      </c>
      <c r="E4" s="40"/>
      <c r="F4" s="41" t="s">
        <v>163</v>
      </c>
      <c r="G4" s="12">
        <v>8239715</v>
      </c>
      <c r="H4" s="39">
        <v>255254</v>
      </c>
      <c r="I4" s="12">
        <f t="shared" ref="I4:I7" si="1">SUM(G4:H4)</f>
        <v>8494969</v>
      </c>
    </row>
    <row r="5" spans="1:9" ht="22.5" customHeight="1" x14ac:dyDescent="0.2">
      <c r="A5" s="39" t="s">
        <v>71</v>
      </c>
      <c r="B5" s="10">
        <v>3194963</v>
      </c>
      <c r="C5" s="39">
        <v>-8713</v>
      </c>
      <c r="D5" s="10">
        <f t="shared" si="0"/>
        <v>3186250</v>
      </c>
      <c r="E5" s="40"/>
      <c r="F5" s="39" t="s">
        <v>124</v>
      </c>
      <c r="G5" s="12">
        <v>3769966</v>
      </c>
      <c r="H5" s="39">
        <v>90767</v>
      </c>
      <c r="I5" s="12">
        <f t="shared" si="1"/>
        <v>3860733</v>
      </c>
    </row>
    <row r="6" spans="1:9" ht="20.100000000000001" customHeight="1" x14ac:dyDescent="0.2">
      <c r="A6" s="39" t="s">
        <v>72</v>
      </c>
      <c r="B6" s="10"/>
      <c r="C6" s="39">
        <v>8700</v>
      </c>
      <c r="D6" s="10">
        <f>SUM(B6:C6)</f>
        <v>8700</v>
      </c>
      <c r="E6" s="40"/>
      <c r="F6" s="39" t="s">
        <v>176</v>
      </c>
      <c r="G6" s="10">
        <v>557522</v>
      </c>
      <c r="H6" s="39">
        <v>150320</v>
      </c>
      <c r="I6" s="12">
        <f t="shared" si="1"/>
        <v>707842</v>
      </c>
    </row>
    <row r="7" spans="1:9" ht="14.1" customHeight="1" x14ac:dyDescent="0.2">
      <c r="A7" s="81" t="s">
        <v>114</v>
      </c>
      <c r="B7" s="81">
        <f>SUM(B3+B4+B5+B6)</f>
        <v>14901414</v>
      </c>
      <c r="C7" s="81">
        <f>SUM(C3+C4+C5+C6)</f>
        <v>1285690</v>
      </c>
      <c r="D7" s="81">
        <f>SUM(D3+D4+D5+D6)</f>
        <v>16187104</v>
      </c>
      <c r="E7" s="40"/>
      <c r="F7" s="39" t="s">
        <v>6</v>
      </c>
      <c r="G7" s="12">
        <v>10000</v>
      </c>
      <c r="H7" s="39">
        <v>-3000</v>
      </c>
      <c r="I7" s="12">
        <f t="shared" si="1"/>
        <v>7000</v>
      </c>
    </row>
    <row r="8" spans="1:9" ht="14.1" customHeight="1" x14ac:dyDescent="0.2">
      <c r="A8" s="41" t="s">
        <v>67</v>
      </c>
      <c r="B8" s="81"/>
      <c r="C8" s="81"/>
      <c r="D8" s="81"/>
      <c r="E8" s="40"/>
      <c r="F8" s="81" t="s">
        <v>119</v>
      </c>
      <c r="G8" s="36">
        <f>SUM(G2:G7)</f>
        <v>21788048</v>
      </c>
      <c r="H8" s="36">
        <f>SUM(H2:H7)</f>
        <v>501758</v>
      </c>
      <c r="I8" s="36">
        <f>SUM(I2:I7)</f>
        <v>22289806</v>
      </c>
    </row>
    <row r="9" spans="1:9" ht="22.2" customHeight="1" x14ac:dyDescent="0.2">
      <c r="A9" s="41" t="s">
        <v>73</v>
      </c>
      <c r="B9" s="93">
        <v>5832216</v>
      </c>
      <c r="C9" s="93">
        <v>-783932</v>
      </c>
      <c r="D9" s="93">
        <f>SUM(B9:C9)</f>
        <v>5048284</v>
      </c>
      <c r="E9" s="40"/>
      <c r="F9" s="210" t="s">
        <v>1011</v>
      </c>
      <c r="G9" s="39">
        <v>171582</v>
      </c>
      <c r="H9" s="39"/>
      <c r="I9" s="39">
        <f>SUM(G9:H9)</f>
        <v>171582</v>
      </c>
    </row>
    <row r="10" spans="1:9" ht="16.2" customHeight="1" x14ac:dyDescent="0.2">
      <c r="A10" s="460" t="s">
        <v>1256</v>
      </c>
      <c r="B10" s="269">
        <v>1226000</v>
      </c>
      <c r="C10" s="269"/>
      <c r="D10" s="93">
        <f>SUM(B10:C10)</f>
        <v>1226000</v>
      </c>
      <c r="E10" s="40"/>
      <c r="F10" s="656"/>
      <c r="G10" s="656"/>
      <c r="H10" s="656"/>
      <c r="I10" s="656"/>
    </row>
    <row r="11" spans="1:9" s="17" customFormat="1" ht="12" customHeight="1" x14ac:dyDescent="0.2">
      <c r="A11" s="48" t="s">
        <v>126</v>
      </c>
      <c r="B11" s="270">
        <f>SUM(B7:B10)</f>
        <v>21959630</v>
      </c>
      <c r="C11" s="270">
        <f>SUM(C7:C10)</f>
        <v>501758</v>
      </c>
      <c r="D11" s="270">
        <f>SUM(D7:D10)</f>
        <v>22461388</v>
      </c>
      <c r="E11" s="40"/>
      <c r="F11" s="42" t="s">
        <v>177</v>
      </c>
      <c r="G11" s="42">
        <f>SUM(G8:G9)</f>
        <v>21959630</v>
      </c>
      <c r="H11" s="42">
        <f>SUM(H8:H10)</f>
        <v>501758</v>
      </c>
      <c r="I11" s="42">
        <f>SUM(I8:I9)</f>
        <v>22461388</v>
      </c>
    </row>
    <row r="12" spans="1:9" ht="14.1" customHeight="1" x14ac:dyDescent="0.2">
      <c r="A12" s="36" t="s">
        <v>104</v>
      </c>
      <c r="B12" s="10"/>
      <c r="C12" s="36"/>
      <c r="D12" s="10"/>
      <c r="E12" s="40"/>
      <c r="F12" s="36" t="s">
        <v>103</v>
      </c>
      <c r="G12" s="81"/>
      <c r="H12" s="36"/>
      <c r="I12" s="81"/>
    </row>
    <row r="13" spans="1:9" ht="24" customHeight="1" x14ac:dyDescent="0.2">
      <c r="A13" s="39" t="s">
        <v>69</v>
      </c>
      <c r="B13" s="10">
        <v>15843790</v>
      </c>
      <c r="C13" s="39">
        <v>-1168018</v>
      </c>
      <c r="D13" s="10">
        <f>SUM(B13:C13)</f>
        <v>14675772</v>
      </c>
      <c r="E13" s="40"/>
      <c r="F13" s="39" t="s">
        <v>74</v>
      </c>
      <c r="G13" s="39">
        <v>121662</v>
      </c>
      <c r="H13" s="39">
        <v>-490</v>
      </c>
      <c r="I13" s="39">
        <f>SUM(G13:H13)</f>
        <v>121172</v>
      </c>
    </row>
    <row r="14" spans="1:9" ht="15" customHeight="1" x14ac:dyDescent="0.2">
      <c r="A14" s="39" t="s">
        <v>1004</v>
      </c>
      <c r="B14" s="93">
        <v>95500</v>
      </c>
      <c r="C14" s="39">
        <v>4840</v>
      </c>
      <c r="D14" s="10">
        <f t="shared" ref="D14:D16" si="2">SUM(B14:C14)</f>
        <v>100340</v>
      </c>
      <c r="E14" s="40"/>
      <c r="F14" s="39" t="s">
        <v>105</v>
      </c>
      <c r="G14" s="10">
        <v>24344973</v>
      </c>
      <c r="H14" s="39">
        <v>-507305</v>
      </c>
      <c r="I14" s="39">
        <f t="shared" ref="I14:I19" si="3">SUM(G14:H14)</f>
        <v>23837668</v>
      </c>
    </row>
    <row r="15" spans="1:9" ht="15" customHeight="1" x14ac:dyDescent="0.2">
      <c r="A15" s="39" t="s">
        <v>1005</v>
      </c>
      <c r="B15" s="93">
        <v>3500</v>
      </c>
      <c r="C15" s="39">
        <v>509</v>
      </c>
      <c r="D15" s="10">
        <f t="shared" si="2"/>
        <v>4009</v>
      </c>
      <c r="E15" s="40"/>
      <c r="F15" s="39" t="s">
        <v>11</v>
      </c>
      <c r="G15" s="93">
        <v>181788</v>
      </c>
      <c r="H15" s="39">
        <v>24040</v>
      </c>
      <c r="I15" s="39">
        <f t="shared" si="3"/>
        <v>205828</v>
      </c>
    </row>
    <row r="16" spans="1:9" ht="24.9" customHeight="1" x14ac:dyDescent="0.2">
      <c r="A16" s="39" t="s">
        <v>1006</v>
      </c>
      <c r="B16" s="93">
        <v>1600005</v>
      </c>
      <c r="C16" s="39">
        <v>127296</v>
      </c>
      <c r="D16" s="10">
        <f t="shared" si="2"/>
        <v>1727301</v>
      </c>
      <c r="E16" s="40"/>
      <c r="F16" s="39" t="s">
        <v>106</v>
      </c>
      <c r="G16" s="10">
        <v>7009595</v>
      </c>
      <c r="H16" s="39">
        <v>261279</v>
      </c>
      <c r="I16" s="39">
        <f t="shared" si="3"/>
        <v>7270874</v>
      </c>
    </row>
    <row r="17" spans="1:9" ht="24" customHeight="1" x14ac:dyDescent="0.2">
      <c r="A17" s="81" t="s">
        <v>117</v>
      </c>
      <c r="B17" s="81">
        <f>SUM(B12:B16)</f>
        <v>17542795</v>
      </c>
      <c r="C17" s="36">
        <f>SUM(C12:C16)</f>
        <v>-1035373</v>
      </c>
      <c r="D17" s="81">
        <f>SUM(D12:D16)</f>
        <v>16507422</v>
      </c>
      <c r="E17" s="38"/>
      <c r="F17" s="39" t="s">
        <v>11</v>
      </c>
      <c r="G17" s="12">
        <v>1000</v>
      </c>
      <c r="H17" s="39">
        <v>195</v>
      </c>
      <c r="I17" s="39">
        <f t="shared" si="3"/>
        <v>1195</v>
      </c>
    </row>
    <row r="18" spans="1:9" ht="12.9" customHeight="1" x14ac:dyDescent="0.2">
      <c r="A18" s="41" t="s">
        <v>67</v>
      </c>
      <c r="B18" s="81"/>
      <c r="C18" s="36"/>
      <c r="D18" s="81"/>
      <c r="E18" s="38"/>
      <c r="F18" s="39" t="s">
        <v>107</v>
      </c>
      <c r="G18" s="12">
        <v>25000</v>
      </c>
      <c r="H18" s="39">
        <v>-4288</v>
      </c>
      <c r="I18" s="39">
        <f t="shared" si="3"/>
        <v>20712</v>
      </c>
    </row>
    <row r="19" spans="1:9" ht="24" customHeight="1" x14ac:dyDescent="0.2">
      <c r="A19" s="41" t="s">
        <v>1007</v>
      </c>
      <c r="B19" s="41"/>
      <c r="C19" s="39"/>
      <c r="D19" s="41"/>
      <c r="E19" s="40"/>
      <c r="F19" s="39" t="s">
        <v>76</v>
      </c>
      <c r="G19" s="12">
        <v>67289</v>
      </c>
      <c r="H19" s="39"/>
      <c r="I19" s="39">
        <f t="shared" si="3"/>
        <v>67289</v>
      </c>
    </row>
    <row r="20" spans="1:9" ht="22.5" customHeight="1" x14ac:dyDescent="0.2">
      <c r="A20" s="41" t="s">
        <v>1008</v>
      </c>
      <c r="B20" s="93">
        <v>1660248</v>
      </c>
      <c r="C20" s="39">
        <v>784569</v>
      </c>
      <c r="D20" s="93">
        <f>SUM(B20:C20)</f>
        <v>2444817</v>
      </c>
      <c r="E20" s="40"/>
      <c r="F20" s="81" t="s">
        <v>118</v>
      </c>
      <c r="G20" s="36">
        <f>SUM(G13+G14+G16+G18+G19)</f>
        <v>31568519</v>
      </c>
      <c r="H20" s="36">
        <f>SUM(H13+H14+H16+H18+H19)</f>
        <v>-250804</v>
      </c>
      <c r="I20" s="36">
        <f>SUM(I13+I14+I16+I18+I19)</f>
        <v>31317715</v>
      </c>
    </row>
    <row r="21" spans="1:9" ht="24.9" customHeight="1" x14ac:dyDescent="0.2">
      <c r="A21" s="460" t="s">
        <v>1009</v>
      </c>
      <c r="B21" s="41">
        <v>12483328</v>
      </c>
      <c r="C21" s="39"/>
      <c r="D21" s="93">
        <f>SUM(B21:C21)</f>
        <v>12483328</v>
      </c>
      <c r="E21" s="40"/>
      <c r="F21" s="41" t="s">
        <v>75</v>
      </c>
      <c r="G21" s="12"/>
      <c r="H21" s="36"/>
      <c r="I21" s="12"/>
    </row>
    <row r="22" spans="1:9" ht="12.9" customHeight="1" x14ac:dyDescent="0.2">
      <c r="A22" s="461"/>
      <c r="B22" s="462"/>
      <c r="C22" s="461"/>
      <c r="D22" s="462"/>
      <c r="E22" s="40"/>
      <c r="F22" s="41" t="s">
        <v>112</v>
      </c>
      <c r="G22" s="12">
        <v>117852</v>
      </c>
      <c r="H22" s="41"/>
      <c r="I22" s="12">
        <f>SUM(G22:H22)</f>
        <v>117852</v>
      </c>
    </row>
    <row r="23" spans="1:9" s="16" customFormat="1" ht="23.1" customHeight="1" thickBot="1" x14ac:dyDescent="0.25">
      <c r="A23" s="90" t="s">
        <v>108</v>
      </c>
      <c r="B23" s="91">
        <f>SUM(B17:B22)</f>
        <v>31686371</v>
      </c>
      <c r="C23" s="91">
        <f>SUM(C17:C22)</f>
        <v>-250804</v>
      </c>
      <c r="D23" s="91">
        <f>SUM(D17:D22)</f>
        <v>31435567</v>
      </c>
      <c r="E23" s="38"/>
      <c r="F23" s="92" t="s">
        <v>109</v>
      </c>
      <c r="G23" s="91">
        <f>SUM(G20:G22)</f>
        <v>31686371</v>
      </c>
      <c r="H23" s="91">
        <f>SUM(H20:H22)</f>
        <v>-250804</v>
      </c>
      <c r="I23" s="91">
        <f>SUM(I20:I22)</f>
        <v>31435567</v>
      </c>
    </row>
    <row r="24" spans="1:9" s="16" customFormat="1" ht="23.1" customHeight="1" thickBot="1" x14ac:dyDescent="0.25">
      <c r="A24" s="44" t="s">
        <v>202</v>
      </c>
      <c r="B24" s="46">
        <f>SUM(B11+B23)</f>
        <v>53646001</v>
      </c>
      <c r="C24" s="46">
        <f>SUM(C11+C23)</f>
        <v>250954</v>
      </c>
      <c r="D24" s="46">
        <f>SUM(D11+D23)</f>
        <v>53896955</v>
      </c>
      <c r="E24" s="38"/>
      <c r="F24" s="44" t="s">
        <v>202</v>
      </c>
      <c r="G24" s="45">
        <f>SUM(G11+G23)</f>
        <v>53646001</v>
      </c>
      <c r="H24" s="45">
        <f>SUM(H11+H23)</f>
        <v>250954</v>
      </c>
      <c r="I24" s="45">
        <f>SUM(I11+I23)</f>
        <v>53896955</v>
      </c>
    </row>
    <row r="25" spans="1:9" s="16" customFormat="1" ht="23.1" customHeight="1" x14ac:dyDescent="0.2">
      <c r="A25" s="39" t="s">
        <v>1010</v>
      </c>
      <c r="B25" s="12">
        <v>10000000</v>
      </c>
      <c r="C25" s="39"/>
      <c r="D25" s="12">
        <f>SUM(B25:C25)</f>
        <v>10000000</v>
      </c>
      <c r="E25" s="40"/>
      <c r="F25" s="39" t="s">
        <v>3</v>
      </c>
      <c r="G25" s="12">
        <v>10000000</v>
      </c>
      <c r="H25" s="39"/>
      <c r="I25" s="12">
        <f>SUM(G25:H25)</f>
        <v>10000000</v>
      </c>
    </row>
    <row r="26" spans="1:9" s="16" customFormat="1" ht="20.100000000000001" customHeight="1" x14ac:dyDescent="0.2">
      <c r="A26" s="42" t="s">
        <v>4</v>
      </c>
      <c r="B26" s="89">
        <f>SUM(B24:B25)</f>
        <v>63646001</v>
      </c>
      <c r="C26" s="42">
        <f>SUM(C24:C25)</f>
        <v>250954</v>
      </c>
      <c r="D26" s="89">
        <f>SUM(D24:D25)</f>
        <v>63896955</v>
      </c>
      <c r="E26" s="40"/>
      <c r="F26" s="42" t="s">
        <v>4</v>
      </c>
      <c r="G26" s="42">
        <f>SUM(G24:G25)</f>
        <v>63646001</v>
      </c>
      <c r="H26" s="42">
        <f>SUM(H24:H25)</f>
        <v>250954</v>
      </c>
      <c r="I26" s="42">
        <f>SUM(I24:I25)</f>
        <v>63896955</v>
      </c>
    </row>
    <row r="29" spans="1:9" x14ac:dyDescent="0.2">
      <c r="D29" s="1" t="s">
        <v>88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2022.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8"/>
  <sheetViews>
    <sheetView topLeftCell="A22" zoomScaleNormal="100" workbookViewId="0">
      <selection activeCell="D21" sqref="D21"/>
    </sheetView>
  </sheetViews>
  <sheetFormatPr defaultColWidth="9.33203125" defaultRowHeight="11.4" x14ac:dyDescent="0.2"/>
  <cols>
    <col min="1" max="1" width="7.44140625" style="23" customWidth="1"/>
    <col min="2" max="2" width="65.44140625" style="21" customWidth="1"/>
    <col min="3" max="5" width="14.44140625" style="21" customWidth="1"/>
    <col min="6" max="16384" width="9.33203125" style="19"/>
  </cols>
  <sheetData>
    <row r="1" spans="1:5" s="16" customFormat="1" ht="55.5" customHeight="1" thickBot="1" x14ac:dyDescent="0.25">
      <c r="A1" s="52" t="s">
        <v>141</v>
      </c>
      <c r="B1" s="779" t="s">
        <v>128</v>
      </c>
      <c r="C1" s="781" t="s">
        <v>1013</v>
      </c>
      <c r="D1" s="781" t="s">
        <v>1264</v>
      </c>
      <c r="E1" s="781" t="s">
        <v>1262</v>
      </c>
    </row>
    <row r="2" spans="1:5" s="22" customFormat="1" ht="14.4" customHeight="1" x14ac:dyDescent="0.2">
      <c r="A2" s="43" t="s">
        <v>25</v>
      </c>
      <c r="B2" s="53" t="s">
        <v>110</v>
      </c>
      <c r="C2" s="780"/>
      <c r="D2" s="780"/>
      <c r="E2" s="780"/>
    </row>
    <row r="3" spans="1:5" s="16" customFormat="1" ht="14.4" customHeight="1" x14ac:dyDescent="0.2">
      <c r="A3" s="43" t="s">
        <v>26</v>
      </c>
      <c r="B3" s="53" t="s">
        <v>27</v>
      </c>
      <c r="C3" s="723"/>
      <c r="D3" s="723"/>
      <c r="E3" s="55"/>
    </row>
    <row r="4" spans="1:5" s="16" customFormat="1" ht="27.75" customHeight="1" x14ac:dyDescent="0.2">
      <c r="A4" s="104" t="s">
        <v>28</v>
      </c>
      <c r="B4" s="154" t="s">
        <v>991</v>
      </c>
      <c r="C4" s="55">
        <v>4289558</v>
      </c>
      <c r="D4" s="724">
        <v>569752</v>
      </c>
      <c r="E4" s="55">
        <f>SUM(C4:D4)</f>
        <v>4859310</v>
      </c>
    </row>
    <row r="5" spans="1:5" s="16" customFormat="1" ht="16.5" hidden="1" customHeight="1" x14ac:dyDescent="0.2">
      <c r="A5" s="105" t="s">
        <v>29</v>
      </c>
      <c r="B5" s="55" t="s">
        <v>96</v>
      </c>
      <c r="C5" s="55"/>
      <c r="D5" s="725"/>
      <c r="E5" s="55">
        <f t="shared" ref="E5:E7" si="0">SUM(C5:D5)</f>
        <v>0</v>
      </c>
    </row>
    <row r="6" spans="1:5" s="16" customFormat="1" ht="24.75" customHeight="1" x14ac:dyDescent="0.2">
      <c r="A6" s="104" t="s">
        <v>1</v>
      </c>
      <c r="B6" s="55" t="s">
        <v>2</v>
      </c>
      <c r="C6" s="55">
        <v>30700</v>
      </c>
      <c r="D6" s="725"/>
      <c r="E6" s="55">
        <f t="shared" si="0"/>
        <v>30700</v>
      </c>
    </row>
    <row r="7" spans="1:5" s="16" customFormat="1" ht="18.75" customHeight="1" x14ac:dyDescent="0.2">
      <c r="A7" s="104" t="s">
        <v>122</v>
      </c>
      <c r="B7" s="55" t="s">
        <v>123</v>
      </c>
      <c r="C7" s="55">
        <v>2423193</v>
      </c>
      <c r="D7" s="725">
        <v>689951</v>
      </c>
      <c r="E7" s="55">
        <f t="shared" si="0"/>
        <v>3113144</v>
      </c>
    </row>
    <row r="8" spans="1:5" s="17" customFormat="1" ht="22.5" customHeight="1" x14ac:dyDescent="0.2">
      <c r="A8" s="56"/>
      <c r="B8" s="51" t="s">
        <v>30</v>
      </c>
      <c r="C8" s="51">
        <f>SUM(C4:C7)</f>
        <v>6743451</v>
      </c>
      <c r="D8" s="51">
        <f>SUM(D4:D7)</f>
        <v>1259703</v>
      </c>
      <c r="E8" s="51">
        <f>SUM(E4:E7)</f>
        <v>8003154</v>
      </c>
    </row>
    <row r="9" spans="1:5" s="16" customFormat="1" ht="14.4" customHeight="1" x14ac:dyDescent="0.2">
      <c r="A9" s="43" t="s">
        <v>31</v>
      </c>
      <c r="B9" s="53" t="s">
        <v>32</v>
      </c>
      <c r="C9" s="55"/>
      <c r="D9" s="723"/>
      <c r="E9" s="55"/>
    </row>
    <row r="10" spans="1:5" s="16" customFormat="1" ht="14.4" customHeight="1" x14ac:dyDescent="0.2">
      <c r="A10" s="104" t="s">
        <v>33</v>
      </c>
      <c r="B10" s="55" t="s">
        <v>34</v>
      </c>
      <c r="C10" s="55"/>
      <c r="D10" s="725"/>
      <c r="E10" s="55"/>
    </row>
    <row r="11" spans="1:5" s="16" customFormat="1" ht="17.25" customHeight="1" x14ac:dyDescent="0.2">
      <c r="A11" s="104" t="s">
        <v>35</v>
      </c>
      <c r="B11" s="55" t="s">
        <v>36</v>
      </c>
      <c r="C11" s="55">
        <v>15843790</v>
      </c>
      <c r="D11" s="725">
        <v>-1168018</v>
      </c>
      <c r="E11" s="55">
        <f>SUM(C11:D11)</f>
        <v>14675772</v>
      </c>
    </row>
    <row r="12" spans="1:5" s="17" customFormat="1" ht="18.75" customHeight="1" x14ac:dyDescent="0.2">
      <c r="A12" s="56"/>
      <c r="B12" s="51" t="s">
        <v>37</v>
      </c>
      <c r="C12" s="51">
        <f>SUM(C10:C11)</f>
        <v>15843790</v>
      </c>
      <c r="D12" s="51">
        <f>SUM(D10:D11)</f>
        <v>-1168018</v>
      </c>
      <c r="E12" s="51">
        <f>SUM(E10:E11)</f>
        <v>14675772</v>
      </c>
    </row>
    <row r="13" spans="1:5" s="16" customFormat="1" ht="14.4" customHeight="1" x14ac:dyDescent="0.2">
      <c r="A13" s="43" t="s">
        <v>38</v>
      </c>
      <c r="B13" s="53" t="s">
        <v>16</v>
      </c>
      <c r="C13" s="55"/>
      <c r="D13" s="723"/>
      <c r="E13" s="55"/>
    </row>
    <row r="14" spans="1:5" s="16" customFormat="1" ht="14.4" customHeight="1" x14ac:dyDescent="0.25">
      <c r="A14" s="116" t="s">
        <v>97</v>
      </c>
      <c r="B14" s="117" t="s">
        <v>98</v>
      </c>
      <c r="C14" s="55">
        <v>1124000</v>
      </c>
      <c r="D14" s="727"/>
      <c r="E14" s="55">
        <f>SUM(C14:D14)</f>
        <v>1124000</v>
      </c>
    </row>
    <row r="15" spans="1:5" s="16" customFormat="1" ht="14.4" customHeight="1" x14ac:dyDescent="0.2">
      <c r="A15" s="104" t="s">
        <v>39</v>
      </c>
      <c r="B15" s="55" t="s">
        <v>41</v>
      </c>
      <c r="C15" s="55"/>
      <c r="D15" s="725"/>
      <c r="E15" s="55">
        <f t="shared" ref="E15:E18" si="1">SUM(C15:D15)</f>
        <v>0</v>
      </c>
    </row>
    <row r="16" spans="1:5" s="16" customFormat="1" ht="14.4" customHeight="1" x14ac:dyDescent="0.2">
      <c r="A16" s="105" t="s">
        <v>40</v>
      </c>
      <c r="B16" s="55" t="s">
        <v>8</v>
      </c>
      <c r="C16" s="55">
        <v>3800000</v>
      </c>
      <c r="D16" s="725"/>
      <c r="E16" s="55">
        <f t="shared" si="1"/>
        <v>3800000</v>
      </c>
    </row>
    <row r="17" spans="1:5" s="16" customFormat="1" ht="15" customHeight="1" x14ac:dyDescent="0.2">
      <c r="A17" s="105" t="s">
        <v>45</v>
      </c>
      <c r="B17" s="55" t="s">
        <v>116</v>
      </c>
      <c r="C17" s="55">
        <v>30000</v>
      </c>
      <c r="D17" s="725"/>
      <c r="E17" s="55">
        <f t="shared" si="1"/>
        <v>30000</v>
      </c>
    </row>
    <row r="18" spans="1:5" s="16" customFormat="1" ht="14.4" customHeight="1" x14ac:dyDescent="0.2">
      <c r="A18" s="104" t="s">
        <v>46</v>
      </c>
      <c r="B18" s="55" t="s">
        <v>115</v>
      </c>
      <c r="C18" s="55">
        <v>9000</v>
      </c>
      <c r="D18" s="725">
        <v>26000</v>
      </c>
      <c r="E18" s="55">
        <f t="shared" si="1"/>
        <v>35000</v>
      </c>
    </row>
    <row r="19" spans="1:5" ht="15" customHeight="1" x14ac:dyDescent="0.2">
      <c r="A19" s="56"/>
      <c r="B19" s="51" t="s">
        <v>47</v>
      </c>
      <c r="C19" s="51">
        <f>SUM(C13:C18)</f>
        <v>4963000</v>
      </c>
      <c r="D19" s="51">
        <f>SUM(D13:D18)</f>
        <v>26000</v>
      </c>
      <c r="E19" s="51">
        <f>SUM(E13:E18)</f>
        <v>4989000</v>
      </c>
    </row>
    <row r="20" spans="1:5" s="16" customFormat="1" ht="15" customHeight="1" x14ac:dyDescent="0.2">
      <c r="A20" s="56" t="s">
        <v>48</v>
      </c>
      <c r="B20" s="51" t="s">
        <v>193</v>
      </c>
      <c r="C20" s="51">
        <v>4794968</v>
      </c>
      <c r="D20" s="51">
        <v>118583</v>
      </c>
      <c r="E20" s="51">
        <f>SUM(C20:D20)</f>
        <v>4913551</v>
      </c>
    </row>
    <row r="21" spans="1:5" s="16" customFormat="1" ht="15" customHeight="1" x14ac:dyDescent="0.2">
      <c r="A21" s="43" t="s">
        <v>49</v>
      </c>
      <c r="B21" s="53" t="s">
        <v>194</v>
      </c>
      <c r="C21" s="55"/>
      <c r="D21" s="723"/>
      <c r="E21" s="55"/>
    </row>
    <row r="22" spans="1:5" s="16" customFormat="1" ht="15" customHeight="1" x14ac:dyDescent="0.2">
      <c r="A22" s="54" t="s">
        <v>50</v>
      </c>
      <c r="B22" s="55" t="s">
        <v>51</v>
      </c>
      <c r="C22" s="55">
        <v>95500</v>
      </c>
      <c r="D22" s="725"/>
      <c r="E22" s="55">
        <f>SUM(C22:D22)</f>
        <v>95500</v>
      </c>
    </row>
    <row r="23" spans="1:5" s="16" customFormat="1" ht="15" customHeight="1" x14ac:dyDescent="0.2">
      <c r="A23" s="54" t="s">
        <v>99</v>
      </c>
      <c r="B23" s="55" t="s">
        <v>100</v>
      </c>
      <c r="C23" s="55"/>
      <c r="D23" s="725"/>
      <c r="E23" s="55">
        <f t="shared" ref="E23:E24" si="2">SUM(C23:D23)</f>
        <v>0</v>
      </c>
    </row>
    <row r="24" spans="1:5" s="16" customFormat="1" ht="15" customHeight="1" x14ac:dyDescent="0.2">
      <c r="A24" s="776" t="s">
        <v>1310</v>
      </c>
      <c r="B24" s="777" t="s">
        <v>1311</v>
      </c>
      <c r="C24" s="777"/>
      <c r="D24" s="777">
        <v>4840</v>
      </c>
      <c r="E24" s="55">
        <f t="shared" si="2"/>
        <v>4840</v>
      </c>
    </row>
    <row r="25" spans="1:5" s="16" customFormat="1" ht="15" customHeight="1" x14ac:dyDescent="0.2">
      <c r="A25" s="85"/>
      <c r="B25" s="51" t="s">
        <v>52</v>
      </c>
      <c r="C25" s="51">
        <f>SUM(C22:C24)</f>
        <v>95500</v>
      </c>
      <c r="D25" s="51">
        <f t="shared" ref="D25:E25" si="3">SUM(D22:D24)</f>
        <v>4840</v>
      </c>
      <c r="E25" s="51">
        <f t="shared" si="3"/>
        <v>100340</v>
      </c>
    </row>
    <row r="26" spans="1:5" s="16" customFormat="1" ht="15" customHeight="1" x14ac:dyDescent="0.2">
      <c r="A26" s="56" t="s">
        <v>53</v>
      </c>
      <c r="B26" s="51" t="s">
        <v>195</v>
      </c>
      <c r="C26" s="51"/>
      <c r="D26" s="726">
        <v>8700</v>
      </c>
      <c r="E26" s="51">
        <f>SUM(C26:D26)</f>
        <v>8700</v>
      </c>
    </row>
    <row r="27" spans="1:5" s="16" customFormat="1" ht="15" customHeight="1" x14ac:dyDescent="0.2">
      <c r="A27" s="43" t="s">
        <v>54</v>
      </c>
      <c r="B27" s="53" t="s">
        <v>196</v>
      </c>
      <c r="C27" s="53"/>
      <c r="D27" s="723"/>
      <c r="E27" s="53"/>
    </row>
    <row r="28" spans="1:5" s="16" customFormat="1" ht="24.9" customHeight="1" x14ac:dyDescent="0.2">
      <c r="A28" s="54" t="s">
        <v>1253</v>
      </c>
      <c r="B28" s="55" t="s">
        <v>55</v>
      </c>
      <c r="C28" s="55">
        <v>3000</v>
      </c>
      <c r="D28" s="725"/>
      <c r="E28" s="55">
        <f>SUM(C28:D28)</f>
        <v>3000</v>
      </c>
    </row>
    <row r="29" spans="1:5" s="16" customFormat="1" ht="15" customHeight="1" x14ac:dyDescent="0.2">
      <c r="A29" s="54" t="s">
        <v>1254</v>
      </c>
      <c r="B29" s="55" t="s">
        <v>56</v>
      </c>
      <c r="C29" s="55">
        <v>500</v>
      </c>
      <c r="D29" s="725">
        <v>509</v>
      </c>
      <c r="E29" s="55">
        <f>SUM(C29:D29)</f>
        <v>1009</v>
      </c>
    </row>
    <row r="30" spans="1:5" s="16" customFormat="1" ht="15" customHeight="1" x14ac:dyDescent="0.2">
      <c r="A30" s="85"/>
      <c r="B30" s="51" t="s">
        <v>57</v>
      </c>
      <c r="C30" s="51">
        <f>SUM(C28:C29)</f>
        <v>3500</v>
      </c>
      <c r="D30" s="51">
        <f>SUM(D28:D29)</f>
        <v>509</v>
      </c>
      <c r="E30" s="51">
        <f>SUM(E28:E29)</f>
        <v>4009</v>
      </c>
    </row>
    <row r="31" spans="1:5" s="16" customFormat="1" ht="15" customHeight="1" x14ac:dyDescent="0.2">
      <c r="A31" s="56" t="s">
        <v>58</v>
      </c>
      <c r="B31" s="51" t="s">
        <v>135</v>
      </c>
      <c r="C31" s="51">
        <f>SUM(C8+C12+C19+C20+C25+C26+C30)</f>
        <v>32444209</v>
      </c>
      <c r="D31" s="51">
        <f>SUM(D8+D12+D19+D20+D25+D26+D30)</f>
        <v>250317</v>
      </c>
      <c r="E31" s="51">
        <f>SUM(E8+E12+E19+E20+E25+E26+E30)</f>
        <v>32694526</v>
      </c>
    </row>
    <row r="32" spans="1:5" s="16" customFormat="1" ht="15.9" customHeight="1" x14ac:dyDescent="0.2">
      <c r="A32" s="43" t="s">
        <v>59</v>
      </c>
      <c r="B32" s="53" t="s">
        <v>197</v>
      </c>
      <c r="C32" s="53"/>
      <c r="D32" s="723"/>
      <c r="E32" s="53"/>
    </row>
    <row r="33" spans="1:5" s="16" customFormat="1" ht="14.4" customHeight="1" x14ac:dyDescent="0.2">
      <c r="A33" s="104" t="s">
        <v>60</v>
      </c>
      <c r="B33" s="55" t="s">
        <v>61</v>
      </c>
      <c r="C33" s="55"/>
      <c r="D33" s="725"/>
      <c r="E33" s="55"/>
    </row>
    <row r="34" spans="1:5" s="16" customFormat="1" ht="14.4" customHeight="1" x14ac:dyDescent="0.2">
      <c r="A34" s="106" t="s">
        <v>62</v>
      </c>
      <c r="B34" s="86" t="s">
        <v>63</v>
      </c>
      <c r="C34" s="55"/>
      <c r="D34" s="728"/>
      <c r="E34" s="55"/>
    </row>
    <row r="35" spans="1:5" s="16" customFormat="1" ht="14.4" customHeight="1" x14ac:dyDescent="0.2">
      <c r="A35" s="106" t="s">
        <v>206</v>
      </c>
      <c r="B35" s="134" t="s">
        <v>205</v>
      </c>
      <c r="C35" s="55">
        <v>23709328</v>
      </c>
      <c r="D35" s="729"/>
      <c r="E35" s="55">
        <f>SUM(C35:D35)</f>
        <v>23709328</v>
      </c>
    </row>
    <row r="36" spans="1:5" s="16" customFormat="1" ht="14.4" customHeight="1" x14ac:dyDescent="0.2">
      <c r="A36" s="106" t="s">
        <v>64</v>
      </c>
      <c r="B36" s="86" t="s">
        <v>137</v>
      </c>
      <c r="C36" s="55">
        <v>7492464</v>
      </c>
      <c r="D36" s="728">
        <v>637</v>
      </c>
      <c r="E36" s="55">
        <f>SUM(C36:D36)</f>
        <v>7493101</v>
      </c>
    </row>
    <row r="37" spans="1:5" s="16" customFormat="1" ht="14.4" customHeight="1" x14ac:dyDescent="0.2">
      <c r="A37" s="107"/>
      <c r="B37" s="51" t="s">
        <v>65</v>
      </c>
      <c r="C37" s="51">
        <f>SUM(C34:C36)</f>
        <v>31201792</v>
      </c>
      <c r="D37" s="51">
        <f>SUM(D34:D36)</f>
        <v>637</v>
      </c>
      <c r="E37" s="51">
        <f>SUM(E34:E36)</f>
        <v>31202429</v>
      </c>
    </row>
    <row r="38" spans="1:5" ht="15.9" customHeight="1" x14ac:dyDescent="0.2">
      <c r="A38" s="56"/>
      <c r="B38" s="51" t="s">
        <v>66</v>
      </c>
      <c r="C38" s="51">
        <f>SUM(C31+C37)</f>
        <v>63646001</v>
      </c>
      <c r="D38" s="51">
        <f>SUM(D31+D37)</f>
        <v>250954</v>
      </c>
      <c r="E38" s="51">
        <f>SUM(E31+E37)</f>
        <v>63896955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2022.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75"/>
  <sheetViews>
    <sheetView zoomScale="96" zoomScaleNormal="96" workbookViewId="0">
      <pane xSplit="1" ySplit="2" topLeftCell="D36" activePane="bottomRight" state="frozen"/>
      <selection pane="topRight" activeCell="B1" sqref="B1"/>
      <selection pane="bottomLeft" activeCell="A141" sqref="A141"/>
      <selection pane="bottomRight" activeCell="J1" sqref="J1:J1048576"/>
    </sheetView>
  </sheetViews>
  <sheetFormatPr defaultColWidth="9.109375" defaultRowHeight="11.4" x14ac:dyDescent="0.25"/>
  <cols>
    <col min="1" max="1" width="108.33203125" style="136" customWidth="1"/>
    <col min="2" max="2" width="10.109375" style="136" customWidth="1"/>
    <col min="3" max="3" width="11.109375" style="136" customWidth="1"/>
    <col min="4" max="4" width="11.44140625" style="136" customWidth="1"/>
    <col min="5" max="5" width="13.109375" style="136" customWidth="1"/>
    <col min="6" max="6" width="7.77734375" style="136" customWidth="1"/>
    <col min="7" max="7" width="9.44140625" style="136" customWidth="1"/>
    <col min="8" max="8" width="9.77734375" style="136" customWidth="1"/>
    <col min="9" max="9" width="16.109375" style="136" customWidth="1"/>
    <col min="10" max="10" width="16.109375" style="136" hidden="1" customWidth="1"/>
    <col min="11" max="11" width="16.109375" style="136" customWidth="1"/>
    <col min="12" max="16384" width="9.109375" style="136"/>
  </cols>
  <sheetData>
    <row r="1" spans="1:10" ht="21" customHeight="1" x14ac:dyDescent="0.25">
      <c r="A1" s="135"/>
      <c r="B1" s="827" t="s">
        <v>948</v>
      </c>
      <c r="C1" s="828"/>
      <c r="D1" s="829" t="s">
        <v>1266</v>
      </c>
      <c r="E1" s="830"/>
      <c r="F1" s="827" t="s">
        <v>948</v>
      </c>
      <c r="G1" s="828"/>
      <c r="H1" s="829" t="s">
        <v>1267</v>
      </c>
      <c r="I1" s="830"/>
      <c r="J1" s="443"/>
    </row>
    <row r="2" spans="1:10" ht="32.25" customHeight="1" x14ac:dyDescent="0.25">
      <c r="A2" s="137" t="s">
        <v>207</v>
      </c>
      <c r="B2" s="497" t="s">
        <v>212</v>
      </c>
      <c r="C2" s="497" t="s">
        <v>213</v>
      </c>
      <c r="D2" s="497" t="s">
        <v>209</v>
      </c>
      <c r="E2" s="271" t="s">
        <v>210</v>
      </c>
      <c r="F2" s="497" t="s">
        <v>212</v>
      </c>
      <c r="G2" s="497" t="s">
        <v>213</v>
      </c>
      <c r="H2" s="497" t="s">
        <v>209</v>
      </c>
      <c r="I2" s="271" t="s">
        <v>210</v>
      </c>
      <c r="J2" s="444" t="s">
        <v>208</v>
      </c>
    </row>
    <row r="3" spans="1:10" ht="16.2" customHeight="1" x14ac:dyDescent="0.25">
      <c r="A3" s="445" t="s">
        <v>211</v>
      </c>
      <c r="B3" s="732"/>
      <c r="C3" s="732"/>
      <c r="D3" s="732"/>
      <c r="E3" s="732"/>
      <c r="F3" s="498"/>
      <c r="G3" s="498"/>
      <c r="H3" s="446"/>
      <c r="I3" s="446"/>
      <c r="J3" s="447"/>
    </row>
    <row r="4" spans="1:10" ht="16.2" customHeight="1" x14ac:dyDescent="0.25">
      <c r="A4" s="448" t="s">
        <v>949</v>
      </c>
      <c r="B4" s="733"/>
      <c r="C4" s="733"/>
      <c r="D4" s="733"/>
      <c r="E4" s="733"/>
      <c r="F4" s="272"/>
      <c r="G4" s="272"/>
      <c r="H4" s="272"/>
      <c r="I4" s="272"/>
      <c r="J4" s="447"/>
    </row>
    <row r="5" spans="1:10" ht="16.2" customHeight="1" x14ac:dyDescent="0.25">
      <c r="A5" s="447" t="s">
        <v>950</v>
      </c>
      <c r="B5" s="449">
        <v>128.87</v>
      </c>
      <c r="C5" s="272"/>
      <c r="D5" s="272">
        <v>5495500</v>
      </c>
      <c r="E5" s="272">
        <v>708205</v>
      </c>
      <c r="F5" s="449">
        <v>128.87</v>
      </c>
      <c r="G5" s="272"/>
      <c r="H5" s="272">
        <v>5495500</v>
      </c>
      <c r="I5" s="272">
        <v>708205</v>
      </c>
      <c r="J5" s="499">
        <v>708205085</v>
      </c>
    </row>
    <row r="6" spans="1:10" ht="16.2" customHeight="1" x14ac:dyDescent="0.25">
      <c r="A6" s="447" t="s">
        <v>951</v>
      </c>
      <c r="B6" s="272"/>
      <c r="C6" s="272"/>
      <c r="E6" s="450"/>
      <c r="F6" s="272"/>
      <c r="G6" s="272"/>
      <c r="I6" s="450"/>
      <c r="J6" s="499"/>
    </row>
    <row r="7" spans="1:10" ht="16.2" customHeight="1" x14ac:dyDescent="0.25">
      <c r="A7" s="447" t="s">
        <v>952</v>
      </c>
      <c r="B7" s="272"/>
      <c r="C7" s="452">
        <v>2372.9</v>
      </c>
      <c r="D7" s="451">
        <v>25200</v>
      </c>
      <c r="E7" s="272">
        <v>59797</v>
      </c>
      <c r="F7" s="272"/>
      <c r="G7" s="452">
        <v>2372.9</v>
      </c>
      <c r="H7" s="451">
        <v>25200</v>
      </c>
      <c r="I7" s="272">
        <v>59797</v>
      </c>
      <c r="J7" s="499">
        <v>59797080</v>
      </c>
    </row>
    <row r="8" spans="1:10" ht="16.2" customHeight="1" x14ac:dyDescent="0.25">
      <c r="A8" s="447" t="s">
        <v>953</v>
      </c>
      <c r="B8" s="272"/>
      <c r="C8" s="452">
        <v>404.2</v>
      </c>
      <c r="D8" s="451">
        <v>415000</v>
      </c>
      <c r="E8" s="272">
        <v>167743</v>
      </c>
      <c r="F8" s="272"/>
      <c r="G8" s="452">
        <v>404.2</v>
      </c>
      <c r="H8" s="451">
        <v>415000</v>
      </c>
      <c r="I8" s="272">
        <v>167743</v>
      </c>
      <c r="J8" s="499">
        <v>167743000</v>
      </c>
    </row>
    <row r="9" spans="1:10" ht="16.2" customHeight="1" x14ac:dyDescent="0.25">
      <c r="A9" s="447" t="s">
        <v>954</v>
      </c>
      <c r="B9" s="272"/>
      <c r="C9" s="272">
        <v>323258</v>
      </c>
      <c r="D9" s="451">
        <v>70</v>
      </c>
      <c r="E9" s="272">
        <v>22628</v>
      </c>
      <c r="F9" s="272"/>
      <c r="G9" s="272">
        <v>323258</v>
      </c>
      <c r="H9" s="451">
        <v>70</v>
      </c>
      <c r="I9" s="272">
        <v>22628</v>
      </c>
      <c r="J9" s="499">
        <v>22628060</v>
      </c>
    </row>
    <row r="10" spans="1:10" ht="16.2" customHeight="1" x14ac:dyDescent="0.25">
      <c r="A10" s="447" t="s">
        <v>955</v>
      </c>
      <c r="B10" s="272"/>
      <c r="C10" s="452">
        <v>220.4</v>
      </c>
      <c r="D10" s="451">
        <v>480000</v>
      </c>
      <c r="E10" s="272">
        <v>105795</v>
      </c>
      <c r="F10" s="272"/>
      <c r="G10" s="452">
        <v>220.4</v>
      </c>
      <c r="H10" s="451">
        <v>480000</v>
      </c>
      <c r="I10" s="272">
        <v>105795</v>
      </c>
      <c r="J10" s="499">
        <v>105794880</v>
      </c>
    </row>
    <row r="11" spans="1:10" ht="16.2" customHeight="1" x14ac:dyDescent="0.25">
      <c r="A11" s="447" t="s">
        <v>956</v>
      </c>
      <c r="B11" s="272">
        <v>56177</v>
      </c>
      <c r="C11" s="272"/>
      <c r="D11" s="451">
        <v>2700</v>
      </c>
      <c r="E11" s="451">
        <v>151678</v>
      </c>
      <c r="F11" s="272">
        <v>56177</v>
      </c>
      <c r="G11" s="272"/>
      <c r="H11" s="451">
        <v>2700</v>
      </c>
      <c r="I11" s="451">
        <v>151678</v>
      </c>
      <c r="J11" s="499">
        <v>151677900</v>
      </c>
    </row>
    <row r="12" spans="1:10" ht="16.2" customHeight="1" x14ac:dyDescent="0.25">
      <c r="A12" s="447" t="s">
        <v>957</v>
      </c>
      <c r="B12" s="272">
        <v>4358</v>
      </c>
      <c r="C12" s="272"/>
      <c r="D12" s="451">
        <v>2550</v>
      </c>
      <c r="E12" s="451">
        <v>11113</v>
      </c>
      <c r="F12" s="272">
        <v>4358</v>
      </c>
      <c r="G12" s="272"/>
      <c r="H12" s="451">
        <v>2550</v>
      </c>
      <c r="I12" s="451">
        <v>11113</v>
      </c>
      <c r="J12" s="499">
        <v>11112900</v>
      </c>
    </row>
    <row r="13" spans="1:10" ht="16.2" customHeight="1" x14ac:dyDescent="0.25">
      <c r="A13" s="447" t="s">
        <v>958</v>
      </c>
      <c r="B13" s="272"/>
      <c r="C13" s="272"/>
      <c r="D13" s="273"/>
      <c r="E13" s="272">
        <v>100</v>
      </c>
      <c r="F13" s="272"/>
      <c r="G13" s="272"/>
      <c r="H13" s="273"/>
      <c r="I13" s="272">
        <v>100</v>
      </c>
      <c r="J13" s="499">
        <v>100000</v>
      </c>
    </row>
    <row r="14" spans="1:10" ht="16.2" customHeight="1" x14ac:dyDescent="0.25">
      <c r="A14" s="447" t="s">
        <v>1268</v>
      </c>
      <c r="B14" s="735"/>
      <c r="C14" s="735"/>
      <c r="D14" s="736"/>
      <c r="E14" s="735"/>
      <c r="F14" s="735"/>
      <c r="G14" s="735"/>
      <c r="H14" s="736"/>
      <c r="I14" s="735">
        <v>23511</v>
      </c>
      <c r="J14" s="737">
        <v>23510725</v>
      </c>
    </row>
    <row r="15" spans="1:10" ht="16.2" customHeight="1" x14ac:dyDescent="0.25">
      <c r="A15" s="448" t="s">
        <v>959</v>
      </c>
      <c r="B15" s="272"/>
      <c r="C15" s="272"/>
      <c r="D15" s="273"/>
      <c r="E15" s="273"/>
      <c r="F15" s="272"/>
      <c r="G15" s="272"/>
      <c r="H15" s="273"/>
      <c r="I15" s="273"/>
      <c r="J15" s="499"/>
    </row>
    <row r="16" spans="1:10" ht="16.2" customHeight="1" x14ac:dyDescent="0.25">
      <c r="A16" s="447" t="s">
        <v>960</v>
      </c>
      <c r="B16" s="272"/>
      <c r="C16" s="452">
        <v>1452.3</v>
      </c>
      <c r="D16" s="272">
        <v>110000</v>
      </c>
      <c r="E16" s="272">
        <v>159753</v>
      </c>
      <c r="F16" s="272"/>
      <c r="G16" s="452">
        <v>1452.3</v>
      </c>
      <c r="H16" s="272">
        <v>110000</v>
      </c>
      <c r="I16" s="272">
        <v>159753</v>
      </c>
      <c r="J16" s="499">
        <v>159753000</v>
      </c>
    </row>
    <row r="17" spans="1:10" ht="16.2" customHeight="1" x14ac:dyDescent="0.25">
      <c r="A17" s="447" t="s">
        <v>1269</v>
      </c>
      <c r="B17" s="735"/>
      <c r="C17" s="738"/>
      <c r="D17" s="735"/>
      <c r="E17" s="735"/>
      <c r="F17" s="735"/>
      <c r="G17" s="452">
        <v>1452.3</v>
      </c>
      <c r="H17" s="735">
        <v>20000</v>
      </c>
      <c r="I17" s="735">
        <v>29046</v>
      </c>
      <c r="J17" s="737">
        <v>29046000</v>
      </c>
    </row>
    <row r="18" spans="1:10" ht="16.2" customHeight="1" x14ac:dyDescent="0.25">
      <c r="A18" s="453" t="s">
        <v>961</v>
      </c>
      <c r="B18" s="272"/>
      <c r="C18" s="452">
        <v>131.1</v>
      </c>
      <c r="D18" s="272">
        <v>4861500</v>
      </c>
      <c r="E18" s="272">
        <v>637343</v>
      </c>
      <c r="F18" s="272"/>
      <c r="G18" s="452">
        <v>131.1</v>
      </c>
      <c r="H18" s="272">
        <v>4861500</v>
      </c>
      <c r="I18" s="272">
        <v>637343</v>
      </c>
      <c r="J18" s="499">
        <v>637342650</v>
      </c>
    </row>
    <row r="19" spans="1:10" ht="16.2" customHeight="1" x14ac:dyDescent="0.25">
      <c r="A19" s="453" t="s">
        <v>1270</v>
      </c>
      <c r="B19" s="735"/>
      <c r="C19" s="738"/>
      <c r="D19" s="735"/>
      <c r="E19" s="735"/>
      <c r="F19" s="735"/>
      <c r="G19" s="452">
        <v>131.1</v>
      </c>
      <c r="H19" s="735">
        <v>401400</v>
      </c>
      <c r="I19" s="735">
        <v>52623</v>
      </c>
      <c r="J19" s="737">
        <v>52623540</v>
      </c>
    </row>
    <row r="20" spans="1:10" ht="16.2" customHeight="1" x14ac:dyDescent="0.25">
      <c r="A20" s="447" t="s">
        <v>962</v>
      </c>
      <c r="B20" s="272"/>
      <c r="C20" s="272"/>
      <c r="D20" s="272"/>
      <c r="E20" s="272"/>
      <c r="F20" s="272"/>
      <c r="G20" s="272"/>
      <c r="H20" s="272"/>
      <c r="I20" s="272"/>
      <c r="J20" s="499"/>
    </row>
    <row r="21" spans="1:10" ht="16.2" customHeight="1" x14ac:dyDescent="0.25">
      <c r="A21" s="447" t="s">
        <v>963</v>
      </c>
      <c r="B21" s="272"/>
      <c r="C21" s="452">
        <v>38</v>
      </c>
      <c r="D21" s="272">
        <v>432000</v>
      </c>
      <c r="E21" s="272">
        <v>16416</v>
      </c>
      <c r="F21" s="272"/>
      <c r="G21" s="452">
        <v>38</v>
      </c>
      <c r="H21" s="272">
        <v>432000</v>
      </c>
      <c r="I21" s="272">
        <v>16416</v>
      </c>
      <c r="J21" s="499">
        <v>16416000</v>
      </c>
    </row>
    <row r="22" spans="1:10" ht="16.2" customHeight="1" x14ac:dyDescent="0.25">
      <c r="A22" s="447" t="s">
        <v>963</v>
      </c>
      <c r="B22" s="272"/>
      <c r="C22" s="272"/>
      <c r="D22" s="272">
        <v>363642</v>
      </c>
      <c r="E22" s="272"/>
      <c r="F22" s="272"/>
      <c r="G22" s="452">
        <v>38</v>
      </c>
      <c r="H22" s="272">
        <v>363642</v>
      </c>
      <c r="I22" s="272"/>
      <c r="J22" s="499"/>
    </row>
    <row r="23" spans="1:10" ht="16.2" customHeight="1" x14ac:dyDescent="0.25">
      <c r="A23" s="447" t="s">
        <v>1271</v>
      </c>
      <c r="B23" s="735"/>
      <c r="C23" s="735"/>
      <c r="D23" s="735"/>
      <c r="E23" s="735"/>
      <c r="F23" s="735"/>
      <c r="G23" s="452">
        <v>38</v>
      </c>
      <c r="H23" s="735">
        <v>35690</v>
      </c>
      <c r="I23" s="735">
        <v>1356</v>
      </c>
      <c r="J23" s="737">
        <v>1356220</v>
      </c>
    </row>
    <row r="24" spans="1:10" ht="16.2" customHeight="1" x14ac:dyDescent="0.25">
      <c r="A24" s="453" t="s">
        <v>964</v>
      </c>
      <c r="B24" s="272"/>
      <c r="C24" s="272">
        <v>2</v>
      </c>
      <c r="D24" s="272">
        <v>1611000</v>
      </c>
      <c r="E24" s="272">
        <v>3222</v>
      </c>
      <c r="F24" s="272"/>
      <c r="G24" s="272">
        <v>2</v>
      </c>
      <c r="H24" s="272">
        <v>1611000</v>
      </c>
      <c r="I24" s="272">
        <v>3222</v>
      </c>
      <c r="J24" s="499">
        <v>3222000</v>
      </c>
    </row>
    <row r="25" spans="1:10" ht="16.2" customHeight="1" x14ac:dyDescent="0.25">
      <c r="A25" s="453" t="s">
        <v>1272</v>
      </c>
      <c r="B25" s="735"/>
      <c r="C25" s="735"/>
      <c r="D25" s="735"/>
      <c r="E25" s="735"/>
      <c r="F25" s="735"/>
      <c r="G25" s="272">
        <v>2</v>
      </c>
      <c r="H25" s="735">
        <v>132970</v>
      </c>
      <c r="I25" s="735">
        <v>266</v>
      </c>
      <c r="J25" s="737">
        <v>265940</v>
      </c>
    </row>
    <row r="26" spans="1:10" ht="16.2" customHeight="1" x14ac:dyDescent="0.25">
      <c r="A26" s="453" t="s">
        <v>965</v>
      </c>
      <c r="B26" s="450"/>
      <c r="C26" s="452">
        <v>89</v>
      </c>
      <c r="D26" s="272">
        <v>3339000</v>
      </c>
      <c r="E26" s="272">
        <v>297171</v>
      </c>
      <c r="F26" s="450"/>
      <c r="G26" s="452">
        <v>89</v>
      </c>
      <c r="H26" s="272">
        <v>3339000</v>
      </c>
      <c r="I26" s="272">
        <v>297171</v>
      </c>
      <c r="J26" s="499">
        <v>297171000</v>
      </c>
    </row>
    <row r="27" spans="1:10" ht="22.2" customHeight="1" x14ac:dyDescent="0.25">
      <c r="A27" s="453" t="s">
        <v>1289</v>
      </c>
      <c r="B27" s="739"/>
      <c r="C27" s="738"/>
      <c r="D27" s="735"/>
      <c r="E27" s="735"/>
      <c r="F27" s="739"/>
      <c r="G27" s="452">
        <v>89</v>
      </c>
      <c r="H27" s="735">
        <v>539000</v>
      </c>
      <c r="I27" s="735">
        <v>47971</v>
      </c>
      <c r="J27" s="737">
        <v>47971000</v>
      </c>
    </row>
    <row r="28" spans="1:10" ht="16.2" customHeight="1" x14ac:dyDescent="0.25">
      <c r="A28" s="500" t="s">
        <v>1093</v>
      </c>
      <c r="B28" s="450"/>
      <c r="C28" s="452">
        <v>1</v>
      </c>
      <c r="D28" s="272">
        <v>480000</v>
      </c>
      <c r="E28" s="272">
        <v>480</v>
      </c>
      <c r="F28" s="450"/>
      <c r="G28" s="452">
        <v>1</v>
      </c>
      <c r="H28" s="272">
        <v>480000</v>
      </c>
      <c r="I28" s="272">
        <v>480</v>
      </c>
      <c r="J28" s="499">
        <v>480000</v>
      </c>
    </row>
    <row r="29" spans="1:10" ht="16.2" customHeight="1" x14ac:dyDescent="0.25">
      <c r="A29" s="448" t="s">
        <v>966</v>
      </c>
      <c r="B29" s="272"/>
      <c r="C29" s="272"/>
      <c r="D29" s="272"/>
      <c r="E29" s="272"/>
      <c r="F29" s="272"/>
      <c r="G29" s="272"/>
      <c r="H29" s="272"/>
      <c r="I29" s="272"/>
      <c r="J29" s="499"/>
    </row>
    <row r="30" spans="1:10" ht="16.2" customHeight="1" x14ac:dyDescent="0.25">
      <c r="A30" s="447" t="s">
        <v>967</v>
      </c>
      <c r="B30" s="272"/>
      <c r="C30" s="452">
        <v>8.5</v>
      </c>
      <c r="D30" s="272">
        <v>4287440</v>
      </c>
      <c r="E30" s="272">
        <v>36443</v>
      </c>
      <c r="F30" s="272"/>
      <c r="G30" s="452">
        <v>8.5</v>
      </c>
      <c r="H30" s="272">
        <v>4287440</v>
      </c>
      <c r="I30" s="272">
        <v>36443</v>
      </c>
      <c r="J30" s="499">
        <v>36443240</v>
      </c>
    </row>
    <row r="31" spans="1:10" ht="16.2" customHeight="1" x14ac:dyDescent="0.25">
      <c r="A31" s="447" t="s">
        <v>1274</v>
      </c>
      <c r="B31" s="735"/>
      <c r="C31" s="738"/>
      <c r="D31" s="735"/>
      <c r="E31" s="735"/>
      <c r="F31" s="735"/>
      <c r="G31" s="452">
        <v>8.5</v>
      </c>
      <c r="H31" s="735">
        <v>841500</v>
      </c>
      <c r="I31" s="735">
        <v>7153</v>
      </c>
      <c r="J31" s="737">
        <v>7152750</v>
      </c>
    </row>
    <row r="32" spans="1:10" ht="16.2" customHeight="1" x14ac:dyDescent="0.25">
      <c r="A32" s="447" t="s">
        <v>968</v>
      </c>
      <c r="B32" s="272"/>
      <c r="C32" s="452">
        <v>22.9</v>
      </c>
      <c r="D32" s="272">
        <v>3864270</v>
      </c>
      <c r="E32" s="272">
        <v>88492</v>
      </c>
      <c r="F32" s="272"/>
      <c r="G32" s="452">
        <v>22.9</v>
      </c>
      <c r="H32" s="272">
        <v>3864270</v>
      </c>
      <c r="I32" s="272">
        <v>88492</v>
      </c>
      <c r="J32" s="499">
        <v>88491783</v>
      </c>
    </row>
    <row r="33" spans="1:10" ht="16.2" customHeight="1" x14ac:dyDescent="0.25">
      <c r="A33" s="447" t="s">
        <v>1275</v>
      </c>
      <c r="B33" s="735"/>
      <c r="C33" s="738"/>
      <c r="D33" s="735"/>
      <c r="E33" s="735"/>
      <c r="F33" s="735"/>
      <c r="G33" s="452">
        <v>22.9</v>
      </c>
      <c r="H33" s="735">
        <v>979700</v>
      </c>
      <c r="I33" s="735">
        <v>23415</v>
      </c>
      <c r="J33" s="737">
        <v>23415130</v>
      </c>
    </row>
    <row r="34" spans="1:10" ht="16.2" customHeight="1" x14ac:dyDescent="0.25">
      <c r="A34" s="447" t="s">
        <v>1094</v>
      </c>
      <c r="B34" s="272"/>
      <c r="C34" s="452">
        <v>1</v>
      </c>
      <c r="D34" s="272">
        <v>10460000</v>
      </c>
      <c r="E34" s="272">
        <v>10460</v>
      </c>
      <c r="F34" s="272"/>
      <c r="G34" s="452">
        <v>1</v>
      </c>
      <c r="H34" s="272">
        <v>10460000</v>
      </c>
      <c r="I34" s="272">
        <v>10460</v>
      </c>
      <c r="J34" s="499">
        <v>10460000</v>
      </c>
    </row>
    <row r="35" spans="1:10" ht="16.2" customHeight="1" x14ac:dyDescent="0.25">
      <c r="A35" s="447" t="s">
        <v>969</v>
      </c>
      <c r="B35" s="272"/>
      <c r="C35" s="272">
        <v>325</v>
      </c>
      <c r="D35" s="272">
        <v>74590</v>
      </c>
      <c r="E35" s="272">
        <v>24242</v>
      </c>
      <c r="F35" s="272"/>
      <c r="G35" s="272">
        <v>325</v>
      </c>
      <c r="H35" s="272">
        <v>74590</v>
      </c>
      <c r="I35" s="272">
        <v>24242</v>
      </c>
      <c r="J35" s="499">
        <v>24241750</v>
      </c>
    </row>
    <row r="36" spans="1:10" ht="16.2" customHeight="1" x14ac:dyDescent="0.25">
      <c r="A36" s="447" t="s">
        <v>1276</v>
      </c>
      <c r="B36" s="735"/>
      <c r="C36" s="735"/>
      <c r="D36" s="735"/>
      <c r="E36" s="735"/>
      <c r="F36" s="735"/>
      <c r="G36" s="272">
        <v>325</v>
      </c>
      <c r="H36" s="735">
        <v>6600</v>
      </c>
      <c r="I36" s="735">
        <v>2145</v>
      </c>
      <c r="J36" s="737">
        <v>2145000</v>
      </c>
    </row>
    <row r="37" spans="1:10" ht="16.2" customHeight="1" x14ac:dyDescent="0.25">
      <c r="A37" s="447" t="s">
        <v>970</v>
      </c>
      <c r="B37" s="272"/>
      <c r="C37" s="272"/>
      <c r="D37" s="272"/>
      <c r="E37" s="272"/>
      <c r="F37" s="272"/>
      <c r="G37" s="272"/>
      <c r="H37" s="272"/>
      <c r="I37" s="272"/>
      <c r="J37" s="499"/>
    </row>
    <row r="38" spans="1:10" ht="16.2" customHeight="1" x14ac:dyDescent="0.25">
      <c r="A38" s="447" t="s">
        <v>971</v>
      </c>
      <c r="B38" s="272"/>
      <c r="C38" s="272">
        <v>2</v>
      </c>
      <c r="D38" s="272">
        <v>25000</v>
      </c>
      <c r="E38" s="272">
        <v>50</v>
      </c>
      <c r="F38" s="272"/>
      <c r="G38" s="272">
        <v>2</v>
      </c>
      <c r="H38" s="272">
        <v>25000</v>
      </c>
      <c r="I38" s="272">
        <v>50</v>
      </c>
      <c r="J38" s="499">
        <v>50000</v>
      </c>
    </row>
    <row r="39" spans="1:10" ht="16.2" customHeight="1" x14ac:dyDescent="0.25">
      <c r="A39" s="447" t="s">
        <v>972</v>
      </c>
      <c r="B39" s="272"/>
      <c r="C39" s="272">
        <v>53</v>
      </c>
      <c r="D39" s="272">
        <v>495480</v>
      </c>
      <c r="E39" s="272">
        <v>26260</v>
      </c>
      <c r="F39" s="272"/>
      <c r="G39" s="272">
        <v>53</v>
      </c>
      <c r="H39" s="272">
        <v>495480</v>
      </c>
      <c r="I39" s="272">
        <v>26260</v>
      </c>
      <c r="J39" s="499">
        <v>26260440</v>
      </c>
    </row>
    <row r="40" spans="1:10" ht="16.2" customHeight="1" x14ac:dyDescent="0.25">
      <c r="A40" s="447" t="s">
        <v>1273</v>
      </c>
      <c r="B40" s="735"/>
      <c r="C40" s="735"/>
      <c r="D40" s="735"/>
      <c r="E40" s="735"/>
      <c r="F40" s="735"/>
      <c r="G40" s="272">
        <v>53</v>
      </c>
      <c r="H40" s="735">
        <v>106600</v>
      </c>
      <c r="I40" s="735">
        <v>5650</v>
      </c>
      <c r="J40" s="737">
        <v>5649800</v>
      </c>
    </row>
    <row r="41" spans="1:10" ht="16.2" customHeight="1" x14ac:dyDescent="0.25">
      <c r="A41" s="453" t="s">
        <v>973</v>
      </c>
      <c r="B41" s="272"/>
      <c r="C41" s="272">
        <v>58</v>
      </c>
      <c r="D41" s="272">
        <v>338440</v>
      </c>
      <c r="E41" s="272">
        <v>19630</v>
      </c>
      <c r="F41" s="272"/>
      <c r="G41" s="272">
        <v>58</v>
      </c>
      <c r="H41" s="272">
        <v>338440</v>
      </c>
      <c r="I41" s="272">
        <v>19630</v>
      </c>
      <c r="J41" s="499">
        <v>19629520</v>
      </c>
    </row>
    <row r="42" spans="1:10" ht="16.2" customHeight="1" x14ac:dyDescent="0.25">
      <c r="A42" s="453" t="s">
        <v>1277</v>
      </c>
      <c r="B42" s="735"/>
      <c r="C42" s="735"/>
      <c r="D42" s="735"/>
      <c r="E42" s="735"/>
      <c r="F42" s="735"/>
      <c r="G42" s="272">
        <v>58</v>
      </c>
      <c r="H42" s="735">
        <v>85500</v>
      </c>
      <c r="I42" s="735">
        <v>4959</v>
      </c>
      <c r="J42" s="737">
        <v>4959000</v>
      </c>
    </row>
    <row r="43" spans="1:10" ht="16.2" customHeight="1" x14ac:dyDescent="0.25">
      <c r="A43" s="453" t="s">
        <v>974</v>
      </c>
      <c r="B43" s="272"/>
      <c r="C43" s="272">
        <v>3</v>
      </c>
      <c r="D43" s="272">
        <v>824400</v>
      </c>
      <c r="E43" s="272">
        <v>2473</v>
      </c>
      <c r="F43" s="272"/>
      <c r="G43" s="272">
        <v>3</v>
      </c>
      <c r="H43" s="272">
        <v>824400</v>
      </c>
      <c r="I43" s="272">
        <v>2473</v>
      </c>
      <c r="J43" s="499">
        <v>2473200</v>
      </c>
    </row>
    <row r="44" spans="1:10" ht="25.95" customHeight="1" x14ac:dyDescent="0.25">
      <c r="A44" s="453" t="s">
        <v>1278</v>
      </c>
      <c r="B44" s="735"/>
      <c r="C44" s="735"/>
      <c r="D44" s="735"/>
      <c r="E44" s="735"/>
      <c r="F44" s="735"/>
      <c r="G44" s="272">
        <v>3</v>
      </c>
      <c r="H44" s="735">
        <v>88000</v>
      </c>
      <c r="I44" s="735">
        <v>264</v>
      </c>
      <c r="J44" s="737">
        <v>264000</v>
      </c>
    </row>
    <row r="45" spans="1:10" ht="16.2" customHeight="1" x14ac:dyDescent="0.25">
      <c r="A45" s="453" t="s">
        <v>975</v>
      </c>
      <c r="B45" s="272"/>
      <c r="C45" s="272">
        <v>20</v>
      </c>
      <c r="D45" s="272">
        <v>460300</v>
      </c>
      <c r="E45" s="272">
        <v>9206</v>
      </c>
      <c r="F45" s="272"/>
      <c r="G45" s="272">
        <v>20</v>
      </c>
      <c r="H45" s="272">
        <v>460300</v>
      </c>
      <c r="I45" s="272">
        <v>9206</v>
      </c>
      <c r="J45" s="499">
        <v>9206000</v>
      </c>
    </row>
    <row r="46" spans="1:10" ht="22.2" customHeight="1" x14ac:dyDescent="0.25">
      <c r="A46" s="453" t="s">
        <v>1279</v>
      </c>
      <c r="B46" s="735"/>
      <c r="C46" s="735"/>
      <c r="D46" s="735"/>
      <c r="E46" s="735"/>
      <c r="F46" s="735"/>
      <c r="G46" s="272">
        <v>20</v>
      </c>
      <c r="H46" s="735">
        <v>45600</v>
      </c>
      <c r="I46" s="735">
        <v>912</v>
      </c>
      <c r="J46" s="737">
        <v>912000</v>
      </c>
    </row>
    <row r="47" spans="1:10" ht="16.2" customHeight="1" x14ac:dyDescent="0.25">
      <c r="A47" s="453" t="s">
        <v>976</v>
      </c>
      <c r="B47" s="272"/>
      <c r="C47" s="272">
        <v>8</v>
      </c>
      <c r="D47" s="272">
        <v>460300</v>
      </c>
      <c r="E47" s="272">
        <v>3682</v>
      </c>
      <c r="F47" s="272"/>
      <c r="G47" s="272">
        <v>8</v>
      </c>
      <c r="H47" s="272">
        <v>460300</v>
      </c>
      <c r="I47" s="272">
        <v>3682</v>
      </c>
      <c r="J47" s="499">
        <v>3682400</v>
      </c>
    </row>
    <row r="48" spans="1:10" ht="24" customHeight="1" x14ac:dyDescent="0.25">
      <c r="A48" s="453" t="s">
        <v>1280</v>
      </c>
      <c r="B48" s="735"/>
      <c r="C48" s="735"/>
      <c r="D48" s="735"/>
      <c r="E48" s="735"/>
      <c r="F48" s="735"/>
      <c r="G48" s="272">
        <v>8</v>
      </c>
      <c r="H48" s="735">
        <v>51600</v>
      </c>
      <c r="I48" s="735">
        <v>413</v>
      </c>
      <c r="J48" s="737">
        <v>412800</v>
      </c>
    </row>
    <row r="49" spans="1:10" ht="16.2" customHeight="1" x14ac:dyDescent="0.25">
      <c r="A49" s="454" t="s">
        <v>1286</v>
      </c>
      <c r="B49" s="272"/>
      <c r="C49" s="272"/>
      <c r="D49" s="272"/>
      <c r="E49" s="272"/>
      <c r="F49" s="272"/>
      <c r="G49" s="272"/>
      <c r="H49" s="272"/>
      <c r="I49" s="272"/>
      <c r="J49" s="499"/>
    </row>
    <row r="50" spans="1:10" ht="16.2" customHeight="1" x14ac:dyDescent="0.25">
      <c r="A50" s="447" t="s">
        <v>977</v>
      </c>
      <c r="B50" s="272"/>
      <c r="C50" s="272"/>
      <c r="D50" s="272"/>
      <c r="E50" s="272"/>
      <c r="F50" s="272"/>
      <c r="G50" s="272"/>
      <c r="H50" s="272"/>
      <c r="I50" s="272"/>
      <c r="J50" s="499"/>
    </row>
    <row r="51" spans="1:10" ht="16.2" customHeight="1" x14ac:dyDescent="0.25">
      <c r="A51" s="447" t="s">
        <v>978</v>
      </c>
      <c r="B51" s="272"/>
      <c r="C51" s="452">
        <v>25</v>
      </c>
      <c r="D51" s="272">
        <v>5100000</v>
      </c>
      <c r="E51" s="272">
        <v>127500</v>
      </c>
      <c r="F51" s="272"/>
      <c r="G51" s="452">
        <v>25</v>
      </c>
      <c r="H51" s="272">
        <v>5100000</v>
      </c>
      <c r="I51" s="272">
        <v>127500</v>
      </c>
      <c r="J51" s="499">
        <v>127500000</v>
      </c>
    </row>
    <row r="52" spans="1:10" ht="16.2" customHeight="1" x14ac:dyDescent="0.25">
      <c r="A52" s="447" t="s">
        <v>1281</v>
      </c>
      <c r="B52" s="735"/>
      <c r="C52" s="738"/>
      <c r="D52" s="735"/>
      <c r="E52" s="735"/>
      <c r="F52" s="735"/>
      <c r="G52" s="452">
        <v>25</v>
      </c>
      <c r="H52" s="735">
        <v>1890700</v>
      </c>
      <c r="I52" s="735">
        <v>47267</v>
      </c>
      <c r="J52" s="737">
        <v>47267500</v>
      </c>
    </row>
    <row r="53" spans="1:10" ht="16.2" customHeight="1" x14ac:dyDescent="0.25">
      <c r="A53" s="453" t="s">
        <v>979</v>
      </c>
      <c r="B53" s="272"/>
      <c r="C53" s="452">
        <v>50</v>
      </c>
      <c r="D53" s="272">
        <v>4260000</v>
      </c>
      <c r="E53" s="272">
        <v>213000</v>
      </c>
      <c r="F53" s="272"/>
      <c r="G53" s="452">
        <v>50</v>
      </c>
      <c r="H53" s="272">
        <v>4260000</v>
      </c>
      <c r="I53" s="272">
        <v>213000</v>
      </c>
      <c r="J53" s="499">
        <v>213000000</v>
      </c>
    </row>
    <row r="54" spans="1:10" ht="24" customHeight="1" x14ac:dyDescent="0.25">
      <c r="A54" s="453" t="s">
        <v>1282</v>
      </c>
      <c r="B54" s="735"/>
      <c r="C54" s="738"/>
      <c r="D54" s="735"/>
      <c r="E54" s="735"/>
      <c r="F54" s="735"/>
      <c r="G54" s="452">
        <v>50</v>
      </c>
      <c r="H54" s="735">
        <v>1193000</v>
      </c>
      <c r="I54" s="735">
        <v>59650</v>
      </c>
      <c r="J54" s="737">
        <v>59650000</v>
      </c>
    </row>
    <row r="55" spans="1:10" ht="16.2" customHeight="1" x14ac:dyDescent="0.25">
      <c r="A55" s="447" t="s">
        <v>980</v>
      </c>
      <c r="B55" s="272"/>
      <c r="C55" s="272"/>
      <c r="D55" s="272"/>
      <c r="E55" s="272">
        <v>52161</v>
      </c>
      <c r="F55" s="272"/>
      <c r="G55" s="272"/>
      <c r="H55" s="272"/>
      <c r="I55" s="272">
        <v>52161</v>
      </c>
      <c r="J55" s="501">
        <v>52161000</v>
      </c>
    </row>
    <row r="56" spans="1:10" ht="26.4" customHeight="1" x14ac:dyDescent="0.25">
      <c r="A56" s="454" t="s">
        <v>1288</v>
      </c>
      <c r="B56" s="272"/>
      <c r="C56" s="272"/>
      <c r="D56" s="272"/>
      <c r="E56" s="272"/>
      <c r="F56" s="272"/>
      <c r="G56" s="272"/>
      <c r="H56" s="272"/>
      <c r="I56" s="272"/>
      <c r="J56" s="499"/>
    </row>
    <row r="57" spans="1:10" ht="16.2" customHeight="1" x14ac:dyDescent="0.25">
      <c r="A57" s="453" t="s">
        <v>1283</v>
      </c>
      <c r="B57" s="272"/>
      <c r="C57" s="452">
        <v>33.200000000000003</v>
      </c>
      <c r="D57" s="272">
        <v>4500000</v>
      </c>
      <c r="E57" s="272">
        <v>149400</v>
      </c>
      <c r="F57" s="272"/>
      <c r="G57" s="452">
        <v>33.200000000000003</v>
      </c>
      <c r="H57" s="272">
        <v>4500000</v>
      </c>
      <c r="I57" s="272">
        <v>149400</v>
      </c>
      <c r="J57" s="499">
        <v>149400000</v>
      </c>
    </row>
    <row r="58" spans="1:10" ht="16.2" customHeight="1" x14ac:dyDescent="0.25">
      <c r="A58" s="453" t="s">
        <v>1284</v>
      </c>
      <c r="B58" s="735"/>
      <c r="C58" s="738"/>
      <c r="D58" s="735"/>
      <c r="E58" s="735"/>
      <c r="F58" s="735"/>
      <c r="G58" s="452">
        <v>33.200000000000003</v>
      </c>
      <c r="H58" s="735">
        <v>939900</v>
      </c>
      <c r="I58" s="735">
        <v>31205</v>
      </c>
      <c r="J58" s="737">
        <v>31204680</v>
      </c>
    </row>
    <row r="59" spans="1:10" ht="16.2" customHeight="1" x14ac:dyDescent="0.25">
      <c r="A59" s="447" t="s">
        <v>981</v>
      </c>
      <c r="B59" s="272"/>
      <c r="C59" s="272"/>
      <c r="D59" s="272"/>
      <c r="E59" s="272">
        <v>22130</v>
      </c>
      <c r="F59" s="272"/>
      <c r="G59" s="272"/>
      <c r="H59" s="272"/>
      <c r="I59" s="272">
        <v>22130</v>
      </c>
      <c r="J59" s="501">
        <v>22130000</v>
      </c>
    </row>
    <row r="60" spans="1:10" ht="16.2" customHeight="1" x14ac:dyDescent="0.25">
      <c r="A60" s="455" t="s">
        <v>982</v>
      </c>
      <c r="B60" s="272"/>
      <c r="C60" s="272"/>
      <c r="D60" s="272"/>
      <c r="E60" s="272"/>
      <c r="F60" s="272"/>
      <c r="G60" s="272"/>
      <c r="H60" s="272"/>
      <c r="I60" s="272"/>
      <c r="J60" s="499"/>
    </row>
    <row r="61" spans="1:10" ht="16.2" customHeight="1" x14ac:dyDescent="0.25">
      <c r="A61" s="447" t="s">
        <v>983</v>
      </c>
      <c r="B61" s="272"/>
      <c r="C61" s="503">
        <v>106.75</v>
      </c>
      <c r="D61" s="272">
        <v>2442000</v>
      </c>
      <c r="E61" s="272">
        <v>260683</v>
      </c>
      <c r="F61" s="272"/>
      <c r="G61" s="503">
        <v>106.75</v>
      </c>
      <c r="H61" s="272">
        <v>2442000</v>
      </c>
      <c r="I61" s="272">
        <v>260683</v>
      </c>
      <c r="J61" s="499">
        <v>260683500</v>
      </c>
    </row>
    <row r="62" spans="1:10" ht="16.2" customHeight="1" x14ac:dyDescent="0.25">
      <c r="A62" s="447" t="s">
        <v>1285</v>
      </c>
      <c r="B62" s="735"/>
      <c r="C62" s="740"/>
      <c r="D62" s="735"/>
      <c r="E62" s="735"/>
      <c r="F62" s="735"/>
      <c r="G62" s="503">
        <v>106.75</v>
      </c>
      <c r="H62" s="735">
        <v>258300</v>
      </c>
      <c r="I62" s="735">
        <v>27574</v>
      </c>
      <c r="J62" s="737">
        <v>27573525</v>
      </c>
    </row>
    <row r="63" spans="1:10" ht="16.2" customHeight="1" x14ac:dyDescent="0.25">
      <c r="A63" s="447" t="s">
        <v>984</v>
      </c>
      <c r="B63" s="272"/>
      <c r="C63" s="502"/>
      <c r="D63" s="272"/>
      <c r="E63" s="272">
        <v>372501</v>
      </c>
      <c r="F63" s="272"/>
      <c r="G63" s="502"/>
      <c r="H63" s="272"/>
      <c r="I63" s="272">
        <v>548801</v>
      </c>
      <c r="J63" s="501">
        <v>548801225</v>
      </c>
    </row>
    <row r="64" spans="1:10" ht="16.2" customHeight="1" x14ac:dyDescent="0.25">
      <c r="A64" s="447" t="s">
        <v>985</v>
      </c>
      <c r="B64" s="272"/>
      <c r="C64" s="502">
        <v>1618</v>
      </c>
      <c r="D64" s="272">
        <v>285</v>
      </c>
      <c r="E64" s="272">
        <v>461</v>
      </c>
      <c r="F64" s="272"/>
      <c r="G64" s="502">
        <v>1618</v>
      </c>
      <c r="H64" s="272">
        <v>285</v>
      </c>
      <c r="I64" s="272">
        <v>461</v>
      </c>
      <c r="J64" s="499">
        <v>461130</v>
      </c>
    </row>
    <row r="65" spans="1:10" ht="16.2" customHeight="1" x14ac:dyDescent="0.25">
      <c r="A65" s="448" t="s">
        <v>986</v>
      </c>
      <c r="B65" s="272"/>
      <c r="C65" s="502"/>
      <c r="D65" s="272"/>
      <c r="E65" s="272"/>
      <c r="F65" s="272"/>
      <c r="G65" s="502"/>
      <c r="H65" s="272"/>
      <c r="I65" s="272"/>
      <c r="J65" s="499"/>
    </row>
    <row r="66" spans="1:10" ht="16.2" customHeight="1" x14ac:dyDescent="0.25">
      <c r="A66" s="453" t="s">
        <v>987</v>
      </c>
      <c r="B66" s="272"/>
      <c r="C66" s="502">
        <v>56177</v>
      </c>
      <c r="D66" s="272">
        <v>964</v>
      </c>
      <c r="E66" s="272">
        <v>54155</v>
      </c>
      <c r="F66" s="272"/>
      <c r="G66" s="502">
        <v>56177</v>
      </c>
      <c r="H66" s="272">
        <v>964</v>
      </c>
      <c r="I66" s="272">
        <v>54155</v>
      </c>
      <c r="J66" s="499">
        <v>54154628</v>
      </c>
    </row>
    <row r="67" spans="1:10" ht="16.2" customHeight="1" x14ac:dyDescent="0.25">
      <c r="A67" s="453" t="s">
        <v>988</v>
      </c>
      <c r="B67" s="272"/>
      <c r="C67" s="272"/>
      <c r="D67" s="272"/>
      <c r="E67" s="272">
        <v>175476</v>
      </c>
      <c r="F67" s="272"/>
      <c r="G67" s="272"/>
      <c r="H67" s="272"/>
      <c r="I67" s="272">
        <v>175476</v>
      </c>
      <c r="J67" s="501">
        <v>175476000</v>
      </c>
    </row>
    <row r="68" spans="1:10" ht="16.2" customHeight="1" x14ac:dyDescent="0.25">
      <c r="A68" s="456" t="s">
        <v>989</v>
      </c>
      <c r="B68" s="272"/>
      <c r="C68" s="272"/>
      <c r="D68" s="272"/>
      <c r="E68" s="272"/>
      <c r="F68" s="272"/>
      <c r="G68" s="272"/>
      <c r="H68" s="272"/>
      <c r="I68" s="272"/>
      <c r="J68" s="499"/>
    </row>
    <row r="69" spans="1:10" ht="16.2" customHeight="1" x14ac:dyDescent="0.25">
      <c r="A69" s="453" t="s">
        <v>990</v>
      </c>
      <c r="B69" s="272"/>
      <c r="C69" s="272"/>
      <c r="D69" s="272"/>
      <c r="E69" s="502">
        <v>54509</v>
      </c>
      <c r="F69" s="272"/>
      <c r="G69" s="272"/>
      <c r="H69" s="272"/>
      <c r="I69" s="502">
        <v>54509</v>
      </c>
      <c r="J69" s="501">
        <v>54508948</v>
      </c>
    </row>
    <row r="70" spans="1:10" ht="16.2" customHeight="1" x14ac:dyDescent="0.25">
      <c r="A70" s="734" t="s">
        <v>1287</v>
      </c>
      <c r="B70" s="735"/>
      <c r="C70" s="735"/>
      <c r="D70" s="735"/>
      <c r="E70" s="741"/>
      <c r="F70" s="735"/>
      <c r="G70" s="735"/>
      <c r="H70" s="735"/>
      <c r="I70" s="741">
        <v>28072</v>
      </c>
      <c r="J70" s="742">
        <v>28072358</v>
      </c>
    </row>
    <row r="71" spans="1:10" ht="16.2" customHeight="1" x14ac:dyDescent="0.25">
      <c r="A71" s="453" t="s">
        <v>1201</v>
      </c>
      <c r="B71" s="272"/>
      <c r="C71" s="272"/>
      <c r="D71" s="446"/>
      <c r="E71" s="446">
        <v>110200</v>
      </c>
      <c r="F71" s="272"/>
      <c r="G71" s="272"/>
      <c r="H71" s="446"/>
      <c r="I71" s="446">
        <v>110200</v>
      </c>
      <c r="J71" s="501">
        <v>110200000</v>
      </c>
    </row>
    <row r="72" spans="1:10" ht="16.2" customHeight="1" x14ac:dyDescent="0.25">
      <c r="A72" s="453" t="s">
        <v>1200</v>
      </c>
      <c r="B72" s="272"/>
      <c r="C72" s="272"/>
      <c r="D72" s="446"/>
      <c r="E72" s="446">
        <v>135000</v>
      </c>
      <c r="F72" s="272"/>
      <c r="G72" s="272"/>
      <c r="H72" s="446"/>
      <c r="I72" s="446">
        <v>135000</v>
      </c>
      <c r="J72" s="501">
        <v>135000000</v>
      </c>
    </row>
    <row r="73" spans="1:10" ht="16.2" customHeight="1" x14ac:dyDescent="0.25">
      <c r="A73" s="457" t="s">
        <v>214</v>
      </c>
      <c r="B73" s="274"/>
      <c r="C73" s="274"/>
      <c r="D73" s="274"/>
      <c r="E73" s="274">
        <f>SUM(E5:E72)</f>
        <v>4289558</v>
      </c>
      <c r="F73" s="274"/>
      <c r="G73" s="274"/>
      <c r="H73" s="274"/>
      <c r="I73" s="274">
        <f>SUM(I5:I72)</f>
        <v>4859310</v>
      </c>
      <c r="J73" s="744">
        <f>SUM(J5:J72)</f>
        <v>4859310287</v>
      </c>
    </row>
    <row r="74" spans="1:10" ht="12.75" customHeight="1" x14ac:dyDescent="0.25">
      <c r="A74" s="504"/>
      <c r="B74" s="504"/>
      <c r="C74" s="504"/>
      <c r="D74" s="504"/>
      <c r="E74" s="504"/>
      <c r="F74" s="505"/>
      <c r="G74" s="505"/>
      <c r="H74" s="506"/>
      <c r="I74" s="506"/>
      <c r="J74" s="743"/>
    </row>
    <row r="75" spans="1:10" ht="12.75" customHeight="1" x14ac:dyDescent="0.25">
      <c r="A75" s="458"/>
      <c r="B75" s="458"/>
      <c r="C75" s="458"/>
      <c r="D75" s="458"/>
      <c r="E75" s="458"/>
      <c r="F75" s="458"/>
      <c r="G75" s="458"/>
      <c r="H75" s="458"/>
      <c r="I75" s="459"/>
      <c r="J75" s="459"/>
    </row>
  </sheetData>
  <sheetProtection selectLockedCells="1" selectUnlockedCells="1"/>
  <mergeCells count="4">
    <mergeCell ref="F1:G1"/>
    <mergeCell ref="H1:I1"/>
    <mergeCell ref="B1:C1"/>
    <mergeCell ref="D1:E1"/>
  </mergeCells>
  <printOptions horizontalCentered="1" verticalCentered="1"/>
  <pageMargins left="3.937007874015748E-2" right="3.937007874015748E-2" top="0.59055118110236227" bottom="0.43307086614173229" header="0.19685039370078741" footer="0.23622047244094491"/>
  <pageSetup paperSize="9" scale="70" firstPageNumber="0" orientation="landscape" r:id="rId1"/>
  <headerFooter alignWithMargins="0">
    <oddHeader>&amp;C&amp;"Times New Roman,Félkövér dőlt"ÁLLAMI HOZZÁJÁRULÁSOKBÓL SZÁRMAZÓ BEVÉTEL 2022.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D3" sqref="D3"/>
    </sheetView>
  </sheetViews>
  <sheetFormatPr defaultColWidth="9.33203125" defaultRowHeight="11.4" x14ac:dyDescent="0.2"/>
  <cols>
    <col min="1" max="1" width="9.33203125" style="19"/>
    <col min="2" max="2" width="50.44140625" style="19" customWidth="1"/>
    <col min="3" max="3" width="16.44140625" style="19" customWidth="1"/>
    <col min="4" max="4" width="16.6640625" style="19" customWidth="1"/>
    <col min="5" max="5" width="16.33203125" style="19" customWidth="1"/>
    <col min="6" max="16384" width="9.33203125" style="19"/>
  </cols>
  <sheetData>
    <row r="1" spans="1:5" s="49" customFormat="1" ht="50.1" customHeight="1" thickBot="1" x14ac:dyDescent="0.3">
      <c r="A1" s="66" t="s">
        <v>141</v>
      </c>
      <c r="B1" s="66" t="s">
        <v>128</v>
      </c>
      <c r="C1" s="66" t="s">
        <v>1013</v>
      </c>
      <c r="D1" s="66" t="s">
        <v>1261</v>
      </c>
      <c r="E1" s="66" t="s">
        <v>1262</v>
      </c>
    </row>
    <row r="2" spans="1:5" s="49" customFormat="1" ht="19.5" customHeight="1" x14ac:dyDescent="0.25">
      <c r="A2" s="102"/>
      <c r="B2" s="103" t="s">
        <v>134</v>
      </c>
      <c r="C2" s="103"/>
      <c r="D2" s="103"/>
      <c r="E2" s="102"/>
    </row>
    <row r="3" spans="1:5" s="50" customFormat="1" ht="13.2" x14ac:dyDescent="0.25">
      <c r="A3" s="68" t="s">
        <v>142</v>
      </c>
      <c r="B3" s="69" t="s">
        <v>113</v>
      </c>
      <c r="C3" s="715">
        <v>5672655</v>
      </c>
      <c r="D3" s="715">
        <f>0+táj2!G738</f>
        <v>1936</v>
      </c>
      <c r="E3" s="82">
        <f>'7'!D17</f>
        <v>5674591</v>
      </c>
    </row>
    <row r="4" spans="1:5" s="29" customFormat="1" ht="13.2" x14ac:dyDescent="0.25">
      <c r="A4" s="68" t="s">
        <v>143</v>
      </c>
      <c r="B4" s="71" t="s">
        <v>189</v>
      </c>
      <c r="C4" s="716">
        <v>830638</v>
      </c>
      <c r="D4" s="715">
        <f>0+táj2!H738</f>
        <v>-53</v>
      </c>
      <c r="E4" s="82">
        <f>'7'!E17</f>
        <v>830585</v>
      </c>
    </row>
    <row r="5" spans="1:5" s="29" customFormat="1" ht="13.2" x14ac:dyDescent="0.25">
      <c r="A5" s="68" t="s">
        <v>144</v>
      </c>
      <c r="B5" s="73" t="s">
        <v>190</v>
      </c>
      <c r="C5" s="717">
        <v>10858867</v>
      </c>
      <c r="D5" s="715">
        <f>0+táj2!I738</f>
        <v>264858</v>
      </c>
      <c r="E5" s="82">
        <f>'7'!F17</f>
        <v>11123725</v>
      </c>
    </row>
    <row r="6" spans="1:5" s="29" customFormat="1" ht="13.2" x14ac:dyDescent="0.25">
      <c r="A6" s="68" t="s">
        <v>145</v>
      </c>
      <c r="B6" s="73" t="s">
        <v>17</v>
      </c>
      <c r="C6" s="717">
        <v>109160</v>
      </c>
      <c r="D6" s="715">
        <f>0+táj2!J738</f>
        <v>-4984</v>
      </c>
      <c r="E6" s="82">
        <f>'7'!G17</f>
        <v>104176</v>
      </c>
    </row>
    <row r="7" spans="1:5" s="29" customFormat="1" ht="13.2" x14ac:dyDescent="0.25">
      <c r="A7" s="68" t="s">
        <v>146</v>
      </c>
      <c r="B7" s="73" t="s">
        <v>24</v>
      </c>
      <c r="C7" s="717">
        <v>4384017</v>
      </c>
      <c r="D7" s="715">
        <f>0+táj2!K738</f>
        <v>240001</v>
      </c>
      <c r="E7" s="82">
        <f>'7'!H17</f>
        <v>4624018</v>
      </c>
    </row>
    <row r="8" spans="1:5" s="29" customFormat="1" ht="13.8" x14ac:dyDescent="0.25">
      <c r="A8" s="68"/>
      <c r="B8" s="67" t="s">
        <v>200</v>
      </c>
      <c r="C8" s="718">
        <v>21855337</v>
      </c>
      <c r="D8" s="721">
        <f>SUM(D3:D7)</f>
        <v>501758</v>
      </c>
      <c r="E8" s="83">
        <f>SUM(E3:E7)</f>
        <v>22357095</v>
      </c>
    </row>
    <row r="9" spans="1:5" s="29" customFormat="1" ht="13.2" x14ac:dyDescent="0.25">
      <c r="A9" s="70" t="s">
        <v>147</v>
      </c>
      <c r="B9" s="72" t="s">
        <v>22</v>
      </c>
      <c r="C9" s="717">
        <v>24359973</v>
      </c>
      <c r="D9" s="717">
        <f>0+táj2!L738</f>
        <v>-511273</v>
      </c>
      <c r="E9" s="72">
        <f>'7'!I17</f>
        <v>23848700</v>
      </c>
    </row>
    <row r="10" spans="1:5" s="29" customFormat="1" ht="13.2" x14ac:dyDescent="0.25">
      <c r="A10" s="70" t="s">
        <v>148</v>
      </c>
      <c r="B10" s="72" t="s">
        <v>21</v>
      </c>
      <c r="C10" s="717">
        <v>7019595</v>
      </c>
      <c r="D10" s="717">
        <f>0+táj2!M738</f>
        <v>260959</v>
      </c>
      <c r="E10" s="72">
        <f>'7'!J17</f>
        <v>7280554</v>
      </c>
    </row>
    <row r="11" spans="1:5" s="29" customFormat="1" ht="13.2" x14ac:dyDescent="0.25">
      <c r="A11" s="70" t="s">
        <v>149</v>
      </c>
      <c r="B11" s="72" t="s">
        <v>77</v>
      </c>
      <c r="C11" s="717">
        <v>121662</v>
      </c>
      <c r="D11" s="717">
        <f>0+táj2!N738</f>
        <v>-490</v>
      </c>
      <c r="E11" s="72">
        <f>'7'!K17</f>
        <v>121172</v>
      </c>
    </row>
    <row r="12" spans="1:5" s="29" customFormat="1" ht="13.8" x14ac:dyDescent="0.25">
      <c r="A12" s="70"/>
      <c r="B12" s="84" t="s">
        <v>201</v>
      </c>
      <c r="C12" s="719">
        <v>31501230</v>
      </c>
      <c r="D12" s="722">
        <f>SUM(D9:D11)</f>
        <v>-250804</v>
      </c>
      <c r="E12" s="97">
        <f>SUM(E9:E11)</f>
        <v>31250426</v>
      </c>
    </row>
    <row r="13" spans="1:5" s="29" customFormat="1" ht="18" customHeight="1" x14ac:dyDescent="0.25">
      <c r="A13" s="70" t="s">
        <v>78</v>
      </c>
      <c r="B13" s="84" t="s">
        <v>79</v>
      </c>
      <c r="C13" s="719">
        <v>53356567</v>
      </c>
      <c r="D13" s="722">
        <f>SUM(D8+D12)</f>
        <v>250954</v>
      </c>
      <c r="E13" s="97">
        <f>SUM(E8+E12)</f>
        <v>53607521</v>
      </c>
    </row>
    <row r="14" spans="1:5" s="29" customFormat="1" ht="16.5" customHeight="1" x14ac:dyDescent="0.25">
      <c r="A14" s="70" t="s">
        <v>80</v>
      </c>
      <c r="B14" s="84" t="s">
        <v>133</v>
      </c>
      <c r="C14" s="719">
        <v>10289434</v>
      </c>
      <c r="D14" s="719">
        <f>0+táj2!O738+táj2!P738</f>
        <v>0</v>
      </c>
      <c r="E14" s="97">
        <f>'7'!L17+'7'!M17</f>
        <v>10289434</v>
      </c>
    </row>
    <row r="15" spans="1:5" s="30" customFormat="1" ht="18.75" customHeight="1" x14ac:dyDescent="0.25">
      <c r="A15" s="74"/>
      <c r="B15" s="75" t="s">
        <v>121</v>
      </c>
      <c r="C15" s="720">
        <v>63646001</v>
      </c>
      <c r="D15" s="76">
        <f>SUM(D13:D14)</f>
        <v>250954</v>
      </c>
      <c r="E15" s="76">
        <f>SUM(E13:E14)</f>
        <v>63896955</v>
      </c>
    </row>
    <row r="16" spans="1:5" s="15" customFormat="1" ht="13.2" x14ac:dyDescent="0.25">
      <c r="A16" s="78"/>
      <c r="B16" s="77"/>
      <c r="C16" s="77"/>
      <c r="D16" s="77"/>
      <c r="E16" s="77"/>
    </row>
    <row r="17" spans="1:5" s="1" customFormat="1" ht="13.2" x14ac:dyDescent="0.25">
      <c r="A17" s="78"/>
      <c r="B17" s="78"/>
      <c r="C17" s="78"/>
      <c r="D17" s="78"/>
      <c r="E17" s="78"/>
    </row>
    <row r="18" spans="1:5" s="1" customFormat="1" ht="13.2" x14ac:dyDescent="0.25">
      <c r="A18" s="78"/>
      <c r="B18" s="78"/>
      <c r="C18" s="78"/>
      <c r="D18" s="78"/>
      <c r="E18" s="78"/>
    </row>
    <row r="19" spans="1:5" s="1" customFormat="1" ht="13.2" x14ac:dyDescent="0.25">
      <c r="A19" s="78"/>
      <c r="B19" s="78"/>
      <c r="C19" s="78"/>
      <c r="D19" s="78"/>
      <c r="E19" s="78"/>
    </row>
    <row r="20" spans="1:5" s="1" customFormat="1" ht="13.2" x14ac:dyDescent="0.25">
      <c r="A20" s="78"/>
      <c r="B20" s="78"/>
      <c r="C20" s="78"/>
      <c r="D20" s="78"/>
      <c r="E20" s="78"/>
    </row>
    <row r="21" spans="1:5" s="1" customFormat="1" ht="13.2" x14ac:dyDescent="0.25">
      <c r="A21" s="78"/>
      <c r="B21" s="78"/>
      <c r="C21" s="78"/>
      <c r="D21" s="78"/>
      <c r="E21" s="78"/>
    </row>
    <row r="22" spans="1:5" s="1" customFormat="1" ht="13.2" x14ac:dyDescent="0.25">
      <c r="A22" s="78"/>
      <c r="B22" s="78"/>
      <c r="C22" s="78"/>
      <c r="D22" s="78"/>
      <c r="E22" s="78"/>
    </row>
    <row r="23" spans="1:5" s="1" customFormat="1" ht="13.2" x14ac:dyDescent="0.25">
      <c r="A23" s="78"/>
      <c r="B23" s="78"/>
      <c r="C23" s="78"/>
      <c r="D23" s="78"/>
      <c r="E23" s="78"/>
    </row>
    <row r="24" spans="1:5" s="1" customFormat="1" ht="13.2" x14ac:dyDescent="0.25">
      <c r="A24" s="78"/>
      <c r="B24" s="78"/>
      <c r="C24" s="78"/>
      <c r="D24" s="78"/>
      <c r="E24" s="78"/>
    </row>
    <row r="25" spans="1:5" s="1" customFormat="1" ht="13.2" x14ac:dyDescent="0.25">
      <c r="A25" s="78"/>
      <c r="B25" s="78"/>
      <c r="C25" s="78"/>
      <c r="D25" s="78"/>
      <c r="E25" s="78"/>
    </row>
    <row r="26" spans="1:5" s="1" customFormat="1" ht="13.2" x14ac:dyDescent="0.25">
      <c r="A26" s="79"/>
      <c r="B26" s="78"/>
      <c r="C26" s="78"/>
      <c r="D26" s="78"/>
      <c r="E26" s="78"/>
    </row>
    <row r="27" spans="1:5" ht="13.2" x14ac:dyDescent="0.25">
      <c r="A27" s="79"/>
      <c r="B27" s="79"/>
      <c r="C27" s="79"/>
      <c r="D27" s="79"/>
      <c r="E27" s="79"/>
    </row>
    <row r="28" spans="1:5" ht="13.2" x14ac:dyDescent="0.25">
      <c r="A28" s="79"/>
      <c r="B28" s="79"/>
      <c r="C28" s="79"/>
      <c r="D28" s="79"/>
      <c r="E28" s="79"/>
    </row>
    <row r="29" spans="1:5" ht="13.2" x14ac:dyDescent="0.25">
      <c r="A29" s="79"/>
      <c r="B29" s="79"/>
      <c r="C29" s="79"/>
      <c r="D29" s="79"/>
      <c r="E29" s="79"/>
    </row>
    <row r="30" spans="1:5" ht="13.2" x14ac:dyDescent="0.25">
      <c r="A30" s="79"/>
      <c r="B30" s="79"/>
      <c r="C30" s="79"/>
      <c r="D30" s="79"/>
      <c r="E30" s="79"/>
    </row>
    <row r="31" spans="1:5" ht="13.2" x14ac:dyDescent="0.25">
      <c r="A31" s="79"/>
      <c r="B31" s="79"/>
      <c r="C31" s="79"/>
      <c r="D31" s="79"/>
      <c r="E31" s="79"/>
    </row>
    <row r="32" spans="1:5" ht="13.2" x14ac:dyDescent="0.25">
      <c r="B32" s="79"/>
      <c r="C32" s="79"/>
      <c r="D32" s="79"/>
      <c r="E32" s="79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2022.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I15" sqref="I15"/>
      <selection pane="bottomLeft" activeCell="D15" sqref="D15:J15"/>
    </sheetView>
  </sheetViews>
  <sheetFormatPr defaultColWidth="9.33203125" defaultRowHeight="12.6" x14ac:dyDescent="0.25"/>
  <cols>
    <col min="1" max="1" width="3.33203125" style="24" customWidth="1"/>
    <col min="2" max="2" width="7" style="24" customWidth="1"/>
    <col min="3" max="3" width="23.33203125" style="24" customWidth="1"/>
    <col min="4" max="4" width="12.33203125" style="24" customWidth="1"/>
    <col min="5" max="5" width="14.33203125" style="24" customWidth="1"/>
    <col min="6" max="6" width="10.77734375" style="24" customWidth="1"/>
    <col min="7" max="7" width="10.33203125" style="24" customWidth="1"/>
    <col min="8" max="8" width="12" style="24" customWidth="1"/>
    <col min="9" max="9" width="14" style="24" customWidth="1"/>
    <col min="10" max="10" width="14.77734375" style="24" customWidth="1"/>
    <col min="11" max="11" width="13.33203125" style="24" customWidth="1"/>
    <col min="12" max="12" width="14.77734375" style="24" customWidth="1"/>
    <col min="13" max="13" width="13.6640625" style="24" customWidth="1"/>
    <col min="14" max="14" width="11.44140625" style="24" customWidth="1"/>
    <col min="15" max="16384" width="9.33203125" style="24"/>
  </cols>
  <sheetData>
    <row r="1" spans="1:14" x14ac:dyDescent="0.25">
      <c r="A1" s="835" t="s">
        <v>89</v>
      </c>
      <c r="B1" s="835" t="s">
        <v>90</v>
      </c>
      <c r="C1" s="836" t="s">
        <v>128</v>
      </c>
      <c r="D1" s="833" t="s">
        <v>135</v>
      </c>
      <c r="E1" s="833"/>
      <c r="F1" s="833"/>
      <c r="G1" s="833"/>
      <c r="H1" s="833"/>
      <c r="I1" s="833"/>
      <c r="J1" s="833"/>
      <c r="K1" s="833" t="s">
        <v>197</v>
      </c>
      <c r="L1" s="833"/>
      <c r="M1" s="834"/>
      <c r="N1" s="831" t="s">
        <v>129</v>
      </c>
    </row>
    <row r="2" spans="1:14" s="25" customFormat="1" ht="54.9" customHeight="1" thickBot="1" x14ac:dyDescent="0.3">
      <c r="A2" s="835"/>
      <c r="B2" s="835"/>
      <c r="C2" s="836"/>
      <c r="D2" s="101" t="s">
        <v>14</v>
      </c>
      <c r="E2" s="101" t="s">
        <v>15</v>
      </c>
      <c r="F2" s="100" t="s">
        <v>16</v>
      </c>
      <c r="G2" s="98" t="s">
        <v>193</v>
      </c>
      <c r="H2" s="100" t="s">
        <v>194</v>
      </c>
      <c r="I2" s="100" t="s">
        <v>195</v>
      </c>
      <c r="J2" s="100" t="s">
        <v>196</v>
      </c>
      <c r="K2" s="100" t="s">
        <v>136</v>
      </c>
      <c r="L2" s="100" t="s">
        <v>137</v>
      </c>
      <c r="M2" s="110" t="s">
        <v>139</v>
      </c>
      <c r="N2" s="832"/>
    </row>
    <row r="3" spans="1:14" ht="17.100000000000001" customHeight="1" x14ac:dyDescent="0.25">
      <c r="A3" s="57">
        <v>1</v>
      </c>
      <c r="B3" s="57"/>
      <c r="C3" s="57" t="s">
        <v>182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111"/>
    </row>
    <row r="4" spans="1:14" ht="24.9" customHeight="1" x14ac:dyDescent="0.25">
      <c r="A4" s="58"/>
      <c r="B4" s="58">
        <v>12</v>
      </c>
      <c r="C4" s="109" t="s">
        <v>101</v>
      </c>
      <c r="D4" s="59">
        <f>'6'!E8</f>
        <v>0</v>
      </c>
      <c r="E4" s="59">
        <f>'6'!F8</f>
        <v>0</v>
      </c>
      <c r="F4" s="59">
        <f>'6'!G8</f>
        <v>0</v>
      </c>
      <c r="G4" s="59">
        <f>'6'!H8</f>
        <v>9906</v>
      </c>
      <c r="H4" s="59">
        <f>'6'!I8</f>
        <v>0</v>
      </c>
      <c r="I4" s="59">
        <f>'6'!J8</f>
        <v>0</v>
      </c>
      <c r="J4" s="59">
        <f>'6'!K8</f>
        <v>0</v>
      </c>
      <c r="K4" s="59">
        <f>'6'!L8</f>
        <v>0</v>
      </c>
      <c r="L4" s="59">
        <f>'6'!M8</f>
        <v>0</v>
      </c>
      <c r="M4" s="59">
        <f>'6'!N8</f>
        <v>0</v>
      </c>
      <c r="N4" s="59">
        <f>SUM(D4:M4)</f>
        <v>9906</v>
      </c>
    </row>
    <row r="5" spans="1:14" ht="17.100000000000001" customHeight="1" x14ac:dyDescent="0.25">
      <c r="A5" s="58"/>
      <c r="B5" s="58">
        <v>13</v>
      </c>
      <c r="C5" s="57" t="s">
        <v>102</v>
      </c>
      <c r="D5" s="59">
        <f>'6'!E19</f>
        <v>400892</v>
      </c>
      <c r="E5" s="59">
        <f>'6'!F19</f>
        <v>4000</v>
      </c>
      <c r="F5" s="59">
        <f>'6'!G19</f>
        <v>0</v>
      </c>
      <c r="G5" s="59">
        <f>'6'!H19</f>
        <v>6007</v>
      </c>
      <c r="H5" s="59">
        <f>'6'!I19</f>
        <v>0</v>
      </c>
      <c r="I5" s="59">
        <f>'6'!J19</f>
        <v>0</v>
      </c>
      <c r="J5" s="59">
        <f>'6'!K19</f>
        <v>0</v>
      </c>
      <c r="K5" s="59">
        <f>'6'!L19</f>
        <v>0</v>
      </c>
      <c r="L5" s="59">
        <f>'6'!M19</f>
        <v>0</v>
      </c>
      <c r="M5" s="59">
        <f>'6'!N19</f>
        <v>0</v>
      </c>
      <c r="N5" s="59">
        <f t="shared" ref="N5:N15" si="0">SUM(D5:M5)</f>
        <v>410899</v>
      </c>
    </row>
    <row r="6" spans="1:14" ht="17.100000000000001" customHeight="1" x14ac:dyDescent="0.25">
      <c r="A6" s="88"/>
      <c r="B6" s="88">
        <v>14</v>
      </c>
      <c r="C6" s="11" t="s">
        <v>184</v>
      </c>
      <c r="D6" s="59">
        <f>'6'!E24</f>
        <v>0</v>
      </c>
      <c r="E6" s="59">
        <f>'6'!F24</f>
        <v>0</v>
      </c>
      <c r="F6" s="59">
        <f>'6'!G24</f>
        <v>0</v>
      </c>
      <c r="G6" s="59">
        <f>'6'!H24</f>
        <v>5292</v>
      </c>
      <c r="H6" s="59">
        <f>'6'!I24</f>
        <v>0</v>
      </c>
      <c r="I6" s="59">
        <f>'6'!J24</f>
        <v>0</v>
      </c>
      <c r="J6" s="59">
        <f>'6'!K24</f>
        <v>0</v>
      </c>
      <c r="K6" s="59">
        <f>'6'!L24</f>
        <v>0</v>
      </c>
      <c r="L6" s="59">
        <f>'6'!M24</f>
        <v>6151</v>
      </c>
      <c r="M6" s="59">
        <f>'6'!N24</f>
        <v>0</v>
      </c>
      <c r="N6" s="59">
        <f t="shared" si="0"/>
        <v>11443</v>
      </c>
    </row>
    <row r="7" spans="1:14" ht="17.100000000000001" customHeight="1" x14ac:dyDescent="0.25">
      <c r="A7" s="58"/>
      <c r="B7" s="58">
        <v>15</v>
      </c>
      <c r="C7" s="57" t="s">
        <v>178</v>
      </c>
      <c r="D7" s="59">
        <f>'6'!E38</f>
        <v>0</v>
      </c>
      <c r="E7" s="59">
        <f>'6'!F38</f>
        <v>0</v>
      </c>
      <c r="F7" s="59">
        <f>'6'!G38</f>
        <v>0</v>
      </c>
      <c r="G7" s="59">
        <f>'6'!H38</f>
        <v>527719</v>
      </c>
      <c r="H7" s="59">
        <f>'6'!I38</f>
        <v>0</v>
      </c>
      <c r="I7" s="59">
        <f>'6'!J38</f>
        <v>0</v>
      </c>
      <c r="J7" s="59">
        <f>'6'!K38</f>
        <v>509</v>
      </c>
      <c r="K7" s="59">
        <f>'6'!L38</f>
        <v>0</v>
      </c>
      <c r="L7" s="59">
        <f>'6'!M38</f>
        <v>25742</v>
      </c>
      <c r="M7" s="59">
        <f>'6'!N38</f>
        <v>0</v>
      </c>
      <c r="N7" s="59">
        <f t="shared" si="0"/>
        <v>553970</v>
      </c>
    </row>
    <row r="8" spans="1:14" ht="17.100000000000001" customHeight="1" x14ac:dyDescent="0.25">
      <c r="A8" s="58"/>
      <c r="B8" s="58">
        <v>16</v>
      </c>
      <c r="C8" s="57" t="s">
        <v>120</v>
      </c>
      <c r="D8" s="59">
        <f>'6'!E88</f>
        <v>1098894</v>
      </c>
      <c r="E8" s="59">
        <f>'6'!F88</f>
        <v>14606859</v>
      </c>
      <c r="F8" s="59">
        <f>'6'!G88</f>
        <v>0</v>
      </c>
      <c r="G8" s="59">
        <f>'6'!H88</f>
        <v>1974517</v>
      </c>
      <c r="H8" s="59">
        <f>'6'!I88</f>
        <v>0</v>
      </c>
      <c r="I8" s="59">
        <f>'6'!J88</f>
        <v>0</v>
      </c>
      <c r="J8" s="59">
        <f>'6'!K88</f>
        <v>0</v>
      </c>
      <c r="K8" s="59">
        <f>'6'!L88</f>
        <v>0</v>
      </c>
      <c r="L8" s="59">
        <f>'6'!M88</f>
        <v>5400857</v>
      </c>
      <c r="M8" s="59">
        <f>'6'!N88</f>
        <v>11843960</v>
      </c>
      <c r="N8" s="59">
        <f t="shared" si="0"/>
        <v>34925087</v>
      </c>
    </row>
    <row r="9" spans="1:14" ht="17.100000000000001" customHeight="1" x14ac:dyDescent="0.25">
      <c r="A9" s="58"/>
      <c r="B9" s="58">
        <v>17</v>
      </c>
      <c r="C9" s="57" t="s">
        <v>179</v>
      </c>
      <c r="D9" s="59">
        <f>'6'!E117</f>
        <v>0</v>
      </c>
      <c r="E9" s="59">
        <f>'6'!F117</f>
        <v>0</v>
      </c>
      <c r="F9" s="59">
        <f>'6'!G117</f>
        <v>0</v>
      </c>
      <c r="G9" s="59">
        <f>'6'!H117</f>
        <v>703228</v>
      </c>
      <c r="H9" s="59">
        <f>'6'!I117</f>
        <v>95500</v>
      </c>
      <c r="I9" s="59">
        <f>'6'!J117</f>
        <v>0</v>
      </c>
      <c r="J9" s="59">
        <f>'6'!K117</f>
        <v>3000</v>
      </c>
      <c r="K9" s="59">
        <f>'6'!L117</f>
        <v>0</v>
      </c>
      <c r="L9" s="59">
        <f>'6'!M117</f>
        <v>67093</v>
      </c>
      <c r="M9" s="59">
        <f>'6'!N117</f>
        <v>110368</v>
      </c>
      <c r="N9" s="59">
        <f t="shared" si="0"/>
        <v>979189</v>
      </c>
    </row>
    <row r="10" spans="1:14" ht="17.100000000000001" customHeight="1" x14ac:dyDescent="0.25">
      <c r="A10" s="58"/>
      <c r="B10" s="58">
        <v>18</v>
      </c>
      <c r="C10" s="57" t="s">
        <v>180</v>
      </c>
      <c r="D10" s="59">
        <f>'6'!E126</f>
        <v>3278</v>
      </c>
      <c r="E10" s="59">
        <f>'6'!F126</f>
        <v>64913</v>
      </c>
      <c r="F10" s="59">
        <f>'6'!G126</f>
        <v>29000</v>
      </c>
      <c r="G10" s="59">
        <f>'6'!H126</f>
        <v>40766</v>
      </c>
      <c r="H10" s="59">
        <f>'6'!I126</f>
        <v>0</v>
      </c>
      <c r="I10" s="59">
        <f>'6'!J126</f>
        <v>0</v>
      </c>
      <c r="J10" s="59">
        <f>'6'!K126</f>
        <v>0</v>
      </c>
      <c r="K10" s="59">
        <f>'6'!L126</f>
        <v>0</v>
      </c>
      <c r="L10" s="59">
        <f>'6'!M126</f>
        <v>0</v>
      </c>
      <c r="M10" s="59">
        <f>'6'!N126</f>
        <v>0</v>
      </c>
      <c r="N10" s="59">
        <f t="shared" si="0"/>
        <v>137957</v>
      </c>
    </row>
    <row r="11" spans="1:14" ht="17.100000000000001" customHeight="1" x14ac:dyDescent="0.25">
      <c r="A11" s="58"/>
      <c r="B11" s="58">
        <v>19</v>
      </c>
      <c r="C11" s="57" t="s">
        <v>87</v>
      </c>
      <c r="D11" s="59">
        <f>'6'!E152</f>
        <v>5390010</v>
      </c>
      <c r="E11" s="59">
        <f>'6'!F152</f>
        <v>0</v>
      </c>
      <c r="F11" s="59">
        <f>'6'!G152</f>
        <v>4960000</v>
      </c>
      <c r="G11" s="59">
        <f>'6'!H152</f>
        <v>109727</v>
      </c>
      <c r="H11" s="59">
        <f>'6'!I152</f>
        <v>0</v>
      </c>
      <c r="I11" s="59">
        <f>'6'!J152</f>
        <v>8700</v>
      </c>
      <c r="J11" s="59">
        <f>'6'!K152</f>
        <v>500</v>
      </c>
      <c r="K11" s="59">
        <f>'6'!L152</f>
        <v>0</v>
      </c>
      <c r="L11" s="59">
        <f>'6'!M152</f>
        <v>1389796</v>
      </c>
      <c r="M11" s="59">
        <f>'6'!N152</f>
        <v>11755000</v>
      </c>
      <c r="N11" s="59">
        <f t="shared" si="0"/>
        <v>23613733</v>
      </c>
    </row>
    <row r="12" spans="1:14" ht="17.100000000000001" customHeight="1" x14ac:dyDescent="0.25">
      <c r="A12" s="58"/>
      <c r="B12" s="58">
        <v>22</v>
      </c>
      <c r="C12" s="730" t="s">
        <v>9</v>
      </c>
      <c r="D12" s="59">
        <f>'6'!E156</f>
        <v>0</v>
      </c>
      <c r="E12" s="59">
        <f>'6'!F156</f>
        <v>0</v>
      </c>
      <c r="F12" s="59">
        <f>'6'!G156</f>
        <v>0</v>
      </c>
      <c r="G12" s="59">
        <f>'6'!H156</f>
        <v>0</v>
      </c>
      <c r="H12" s="59">
        <f>'6'!I156</f>
        <v>4840</v>
      </c>
      <c r="I12" s="59">
        <f>'6'!J156</f>
        <v>0</v>
      </c>
      <c r="J12" s="59">
        <f>'6'!K156</f>
        <v>0</v>
      </c>
      <c r="K12" s="59">
        <f>'6'!L156</f>
        <v>0</v>
      </c>
      <c r="L12" s="59">
        <f>'6'!M156</f>
        <v>0</v>
      </c>
      <c r="M12" s="59">
        <f>'6'!N156</f>
        <v>0</v>
      </c>
      <c r="N12" s="59">
        <f t="shared" si="0"/>
        <v>4840</v>
      </c>
    </row>
    <row r="13" spans="1:14" ht="36" customHeight="1" x14ac:dyDescent="0.25">
      <c r="A13" s="60"/>
      <c r="B13" s="60"/>
      <c r="C13" s="94" t="s">
        <v>12</v>
      </c>
      <c r="D13" s="80">
        <f t="shared" ref="D13:M13" si="1">SUM(D4:D12)</f>
        <v>6893074</v>
      </c>
      <c r="E13" s="80">
        <f t="shared" si="1"/>
        <v>14675772</v>
      </c>
      <c r="F13" s="80">
        <f t="shared" si="1"/>
        <v>4989000</v>
      </c>
      <c r="G13" s="80">
        <f t="shared" si="1"/>
        <v>3377162</v>
      </c>
      <c r="H13" s="80">
        <f t="shared" si="1"/>
        <v>100340</v>
      </c>
      <c r="I13" s="80">
        <f t="shared" si="1"/>
        <v>8700</v>
      </c>
      <c r="J13" s="80">
        <f t="shared" si="1"/>
        <v>4009</v>
      </c>
      <c r="K13" s="80">
        <f t="shared" si="1"/>
        <v>0</v>
      </c>
      <c r="L13" s="80">
        <f t="shared" si="1"/>
        <v>6889639</v>
      </c>
      <c r="M13" s="80">
        <f t="shared" si="1"/>
        <v>23709328</v>
      </c>
      <c r="N13" s="80">
        <f t="shared" si="0"/>
        <v>60647024</v>
      </c>
    </row>
    <row r="14" spans="1:14" ht="17.100000000000001" customHeight="1" x14ac:dyDescent="0.25">
      <c r="A14" s="62">
        <v>2</v>
      </c>
      <c r="B14" s="62"/>
      <c r="C14" s="57" t="s">
        <v>183</v>
      </c>
      <c r="D14" s="59">
        <f>'9'!F22</f>
        <v>1110080</v>
      </c>
      <c r="E14" s="59">
        <f>'9'!G22</f>
        <v>0</v>
      </c>
      <c r="F14" s="59">
        <f>'9'!H22</f>
        <v>0</v>
      </c>
      <c r="G14" s="59">
        <f>'9'!I22</f>
        <v>1536389</v>
      </c>
      <c r="H14" s="59">
        <f>'9'!J22</f>
        <v>0</v>
      </c>
      <c r="I14" s="59">
        <f>'9'!K22</f>
        <v>0</v>
      </c>
      <c r="J14" s="59">
        <f>'9'!L22</f>
        <v>0</v>
      </c>
      <c r="K14" s="59">
        <f>'6'!L158</f>
        <v>0</v>
      </c>
      <c r="L14" s="59">
        <f>'9'!M22</f>
        <v>603462</v>
      </c>
      <c r="M14" s="59">
        <f>'6'!N158</f>
        <v>0</v>
      </c>
      <c r="N14" s="59">
        <f t="shared" si="0"/>
        <v>3249931</v>
      </c>
    </row>
    <row r="15" spans="1:14" ht="17.100000000000001" customHeight="1" x14ac:dyDescent="0.25">
      <c r="A15" s="60"/>
      <c r="B15" s="60"/>
      <c r="C15" s="61" t="s">
        <v>173</v>
      </c>
      <c r="D15" s="80">
        <f t="shared" ref="D15:M15" si="2">SUM(D13:D14)</f>
        <v>8003154</v>
      </c>
      <c r="E15" s="80">
        <f t="shared" si="2"/>
        <v>14675772</v>
      </c>
      <c r="F15" s="80">
        <f t="shared" si="2"/>
        <v>4989000</v>
      </c>
      <c r="G15" s="80">
        <f t="shared" si="2"/>
        <v>4913551</v>
      </c>
      <c r="H15" s="80">
        <f t="shared" si="2"/>
        <v>100340</v>
      </c>
      <c r="I15" s="80">
        <f t="shared" si="2"/>
        <v>8700</v>
      </c>
      <c r="J15" s="80">
        <f t="shared" si="2"/>
        <v>4009</v>
      </c>
      <c r="K15" s="80">
        <f t="shared" si="2"/>
        <v>0</v>
      </c>
      <c r="L15" s="80">
        <f t="shared" si="2"/>
        <v>7493101</v>
      </c>
      <c r="M15" s="80">
        <f t="shared" si="2"/>
        <v>23709328</v>
      </c>
      <c r="N15" s="80">
        <f t="shared" si="0"/>
        <v>63896955</v>
      </c>
    </row>
    <row r="16" spans="1:14" ht="17.100000000000001" customHeight="1" x14ac:dyDescent="0.25">
      <c r="C16" s="26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3:12" ht="14.1" customHeight="1" x14ac:dyDescent="0.25">
      <c r="C17" s="26"/>
      <c r="D17" s="27"/>
      <c r="E17" s="27"/>
      <c r="F17" s="27"/>
      <c r="G17" s="27"/>
      <c r="H17" s="27"/>
      <c r="I17" s="27"/>
      <c r="J17" s="27"/>
      <c r="K17" s="27"/>
      <c r="L17" s="27"/>
    </row>
    <row r="18" spans="3:12" ht="14.1" customHeight="1" x14ac:dyDescent="0.25">
      <c r="D18" s="27"/>
      <c r="E18" s="27"/>
      <c r="F18" s="27"/>
      <c r="G18" s="27"/>
      <c r="H18" s="27"/>
      <c r="I18" s="27"/>
      <c r="J18" s="27"/>
      <c r="K18" s="27"/>
      <c r="L18" s="27"/>
    </row>
    <row r="19" spans="3:12" ht="14.1" customHeight="1" x14ac:dyDescent="0.25">
      <c r="D19" s="27"/>
      <c r="E19" s="27"/>
      <c r="F19" s="27"/>
      <c r="G19" s="27"/>
      <c r="H19" s="27"/>
      <c r="I19" s="27"/>
      <c r="J19" s="27"/>
      <c r="K19" s="27"/>
      <c r="L19" s="27"/>
    </row>
    <row r="20" spans="3:12" ht="14.1" customHeight="1" x14ac:dyDescent="0.25">
      <c r="D20" s="27"/>
      <c r="E20" s="27"/>
      <c r="F20" s="27"/>
      <c r="G20" s="27"/>
      <c r="H20" s="27"/>
      <c r="I20" s="27"/>
      <c r="J20" s="27"/>
      <c r="K20" s="27"/>
      <c r="L20" s="27"/>
    </row>
    <row r="21" spans="3:12" ht="14.1" customHeight="1" x14ac:dyDescent="0.25">
      <c r="D21" s="27"/>
      <c r="E21" s="27"/>
      <c r="F21" s="27"/>
      <c r="G21" s="27"/>
      <c r="H21" s="27"/>
      <c r="I21" s="27"/>
      <c r="J21" s="27"/>
      <c r="K21" s="27"/>
      <c r="L21" s="27"/>
    </row>
    <row r="22" spans="3:12" ht="14.1" customHeight="1" x14ac:dyDescent="0.25">
      <c r="D22" s="27"/>
      <c r="E22" s="27"/>
      <c r="F22" s="27"/>
      <c r="G22" s="27"/>
      <c r="H22" s="27"/>
      <c r="I22" s="27"/>
      <c r="J22" s="27"/>
      <c r="K22" s="27"/>
      <c r="L22" s="27"/>
    </row>
    <row r="23" spans="3:12" ht="14.1" customHeight="1" x14ac:dyDescent="0.25">
      <c r="D23" s="27"/>
      <c r="E23" s="27"/>
      <c r="F23" s="27"/>
      <c r="G23" s="27"/>
      <c r="H23" s="27"/>
      <c r="I23" s="27"/>
      <c r="J23" s="27"/>
      <c r="K23" s="27"/>
      <c r="L23" s="27"/>
    </row>
    <row r="24" spans="3:12" ht="14.1" customHeight="1" x14ac:dyDescent="0.25">
      <c r="D24" s="27"/>
      <c r="E24" s="27"/>
      <c r="F24" s="27"/>
      <c r="G24" s="27"/>
      <c r="H24" s="27"/>
      <c r="I24" s="27"/>
      <c r="J24" s="27"/>
      <c r="K24" s="27"/>
      <c r="L24" s="27"/>
    </row>
    <row r="25" spans="3:12" ht="14.1" customHeight="1" x14ac:dyDescent="0.25">
      <c r="D25" s="27"/>
      <c r="E25" s="27"/>
      <c r="F25" s="27"/>
      <c r="G25" s="27"/>
      <c r="H25" s="27"/>
      <c r="I25" s="27"/>
      <c r="J25" s="27"/>
      <c r="K25" s="27"/>
      <c r="L25" s="27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2022.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59"/>
  <sheetViews>
    <sheetView zoomScale="98" zoomScaleNormal="98" workbookViewId="0">
      <pane ySplit="2" topLeftCell="A150" activePane="bottomLeft" state="frozen"/>
      <selection pane="bottomLeft" activeCell="D102" sqref="D102"/>
    </sheetView>
  </sheetViews>
  <sheetFormatPr defaultRowHeight="12.6" x14ac:dyDescent="0.25"/>
  <cols>
    <col min="1" max="1" width="5.33203125" style="138" customWidth="1"/>
    <col min="2" max="2" width="5.44140625" style="138" customWidth="1"/>
    <col min="3" max="3" width="40.77734375" style="138" customWidth="1"/>
    <col min="4" max="4" width="10.77734375" style="288" customWidth="1"/>
    <col min="5" max="5" width="13" style="138" customWidth="1"/>
    <col min="6" max="6" width="13.109375" style="138" customWidth="1"/>
    <col min="7" max="7" width="12.33203125" style="138" customWidth="1"/>
    <col min="8" max="8" width="11.33203125" style="138" customWidth="1"/>
    <col min="9" max="9" width="11.77734375" style="138" customWidth="1"/>
    <col min="10" max="10" width="10.77734375" style="138" customWidth="1"/>
    <col min="11" max="11" width="13.109375" style="138" customWidth="1"/>
    <col min="12" max="12" width="11.44140625" style="138" customWidth="1"/>
    <col min="13" max="14" width="12.33203125" style="138" customWidth="1"/>
    <col min="15" max="15" width="13.109375" style="138" customWidth="1"/>
    <col min="16" max="16" width="12.33203125" style="138" customWidth="1"/>
    <col min="17" max="255" width="8.77734375" style="138"/>
    <col min="256" max="256" width="5.33203125" style="138" customWidth="1"/>
    <col min="257" max="257" width="5.44140625" style="138" customWidth="1"/>
    <col min="258" max="258" width="40.77734375" style="138" customWidth="1"/>
    <col min="259" max="259" width="9.77734375" style="138" customWidth="1"/>
    <col min="260" max="260" width="13" style="138" customWidth="1"/>
    <col min="261" max="261" width="13.109375" style="138" customWidth="1"/>
    <col min="262" max="262" width="12.33203125" style="138" customWidth="1"/>
    <col min="263" max="263" width="11.33203125" style="138" customWidth="1"/>
    <col min="264" max="264" width="11.77734375" style="138" customWidth="1"/>
    <col min="265" max="265" width="10.77734375" style="138" customWidth="1"/>
    <col min="266" max="266" width="13.109375" style="138" customWidth="1"/>
    <col min="267" max="267" width="11.44140625" style="138" customWidth="1"/>
    <col min="268" max="269" width="12.33203125" style="138" customWidth="1"/>
    <col min="270" max="270" width="13.109375" style="138" customWidth="1"/>
    <col min="271" max="271" width="18.44140625" style="138" customWidth="1"/>
    <col min="272" max="272" width="7.33203125" style="138" customWidth="1"/>
    <col min="273" max="511" width="8.77734375" style="138"/>
    <col min="512" max="512" width="5.33203125" style="138" customWidth="1"/>
    <col min="513" max="513" width="5.44140625" style="138" customWidth="1"/>
    <col min="514" max="514" width="40.77734375" style="138" customWidth="1"/>
    <col min="515" max="515" width="9.77734375" style="138" customWidth="1"/>
    <col min="516" max="516" width="13" style="138" customWidth="1"/>
    <col min="517" max="517" width="13.109375" style="138" customWidth="1"/>
    <col min="518" max="518" width="12.33203125" style="138" customWidth="1"/>
    <col min="519" max="519" width="11.33203125" style="138" customWidth="1"/>
    <col min="520" max="520" width="11.77734375" style="138" customWidth="1"/>
    <col min="521" max="521" width="10.77734375" style="138" customWidth="1"/>
    <col min="522" max="522" width="13.109375" style="138" customWidth="1"/>
    <col min="523" max="523" width="11.44140625" style="138" customWidth="1"/>
    <col min="524" max="525" width="12.33203125" style="138" customWidth="1"/>
    <col min="526" max="526" width="13.109375" style="138" customWidth="1"/>
    <col min="527" max="527" width="18.44140625" style="138" customWidth="1"/>
    <col min="528" max="528" width="7.33203125" style="138" customWidth="1"/>
    <col min="529" max="767" width="8.77734375" style="138"/>
    <col min="768" max="768" width="5.33203125" style="138" customWidth="1"/>
    <col min="769" max="769" width="5.44140625" style="138" customWidth="1"/>
    <col min="770" max="770" width="40.77734375" style="138" customWidth="1"/>
    <col min="771" max="771" width="9.77734375" style="138" customWidth="1"/>
    <col min="772" max="772" width="13" style="138" customWidth="1"/>
    <col min="773" max="773" width="13.109375" style="138" customWidth="1"/>
    <col min="774" max="774" width="12.33203125" style="138" customWidth="1"/>
    <col min="775" max="775" width="11.33203125" style="138" customWidth="1"/>
    <col min="776" max="776" width="11.77734375" style="138" customWidth="1"/>
    <col min="777" max="777" width="10.77734375" style="138" customWidth="1"/>
    <col min="778" max="778" width="13.109375" style="138" customWidth="1"/>
    <col min="779" max="779" width="11.44140625" style="138" customWidth="1"/>
    <col min="780" max="781" width="12.33203125" style="138" customWidth="1"/>
    <col min="782" max="782" width="13.109375" style="138" customWidth="1"/>
    <col min="783" max="783" width="18.44140625" style="138" customWidth="1"/>
    <col min="784" max="784" width="7.33203125" style="138" customWidth="1"/>
    <col min="785" max="1023" width="8.77734375" style="138"/>
    <col min="1024" max="1024" width="5.33203125" style="138" customWidth="1"/>
    <col min="1025" max="1025" width="5.44140625" style="138" customWidth="1"/>
    <col min="1026" max="1026" width="40.77734375" style="138" customWidth="1"/>
    <col min="1027" max="1027" width="9.77734375" style="138" customWidth="1"/>
    <col min="1028" max="1028" width="13" style="138" customWidth="1"/>
    <col min="1029" max="1029" width="13.109375" style="138" customWidth="1"/>
    <col min="1030" max="1030" width="12.33203125" style="138" customWidth="1"/>
    <col min="1031" max="1031" width="11.33203125" style="138" customWidth="1"/>
    <col min="1032" max="1032" width="11.77734375" style="138" customWidth="1"/>
    <col min="1033" max="1033" width="10.77734375" style="138" customWidth="1"/>
    <col min="1034" max="1034" width="13.109375" style="138" customWidth="1"/>
    <col min="1035" max="1035" width="11.44140625" style="138" customWidth="1"/>
    <col min="1036" max="1037" width="12.33203125" style="138" customWidth="1"/>
    <col min="1038" max="1038" width="13.109375" style="138" customWidth="1"/>
    <col min="1039" max="1039" width="18.44140625" style="138" customWidth="1"/>
    <col min="1040" max="1040" width="7.33203125" style="138" customWidth="1"/>
    <col min="1041" max="1279" width="8.77734375" style="138"/>
    <col min="1280" max="1280" width="5.33203125" style="138" customWidth="1"/>
    <col min="1281" max="1281" width="5.44140625" style="138" customWidth="1"/>
    <col min="1282" max="1282" width="40.77734375" style="138" customWidth="1"/>
    <col min="1283" max="1283" width="9.77734375" style="138" customWidth="1"/>
    <col min="1284" max="1284" width="13" style="138" customWidth="1"/>
    <col min="1285" max="1285" width="13.109375" style="138" customWidth="1"/>
    <col min="1286" max="1286" width="12.33203125" style="138" customWidth="1"/>
    <col min="1287" max="1287" width="11.33203125" style="138" customWidth="1"/>
    <col min="1288" max="1288" width="11.77734375" style="138" customWidth="1"/>
    <col min="1289" max="1289" width="10.77734375" style="138" customWidth="1"/>
    <col min="1290" max="1290" width="13.109375" style="138" customWidth="1"/>
    <col min="1291" max="1291" width="11.44140625" style="138" customWidth="1"/>
    <col min="1292" max="1293" width="12.33203125" style="138" customWidth="1"/>
    <col min="1294" max="1294" width="13.109375" style="138" customWidth="1"/>
    <col min="1295" max="1295" width="18.44140625" style="138" customWidth="1"/>
    <col min="1296" max="1296" width="7.33203125" style="138" customWidth="1"/>
    <col min="1297" max="1535" width="8.77734375" style="138"/>
    <col min="1536" max="1536" width="5.33203125" style="138" customWidth="1"/>
    <col min="1537" max="1537" width="5.44140625" style="138" customWidth="1"/>
    <col min="1538" max="1538" width="40.77734375" style="138" customWidth="1"/>
    <col min="1539" max="1539" width="9.77734375" style="138" customWidth="1"/>
    <col min="1540" max="1540" width="13" style="138" customWidth="1"/>
    <col min="1541" max="1541" width="13.109375" style="138" customWidth="1"/>
    <col min="1542" max="1542" width="12.33203125" style="138" customWidth="1"/>
    <col min="1543" max="1543" width="11.33203125" style="138" customWidth="1"/>
    <col min="1544" max="1544" width="11.77734375" style="138" customWidth="1"/>
    <col min="1545" max="1545" width="10.77734375" style="138" customWidth="1"/>
    <col min="1546" max="1546" width="13.109375" style="138" customWidth="1"/>
    <col min="1547" max="1547" width="11.44140625" style="138" customWidth="1"/>
    <col min="1548" max="1549" width="12.33203125" style="138" customWidth="1"/>
    <col min="1550" max="1550" width="13.109375" style="138" customWidth="1"/>
    <col min="1551" max="1551" width="18.44140625" style="138" customWidth="1"/>
    <col min="1552" max="1552" width="7.33203125" style="138" customWidth="1"/>
    <col min="1553" max="1791" width="8.77734375" style="138"/>
    <col min="1792" max="1792" width="5.33203125" style="138" customWidth="1"/>
    <col min="1793" max="1793" width="5.44140625" style="138" customWidth="1"/>
    <col min="1794" max="1794" width="40.77734375" style="138" customWidth="1"/>
    <col min="1795" max="1795" width="9.77734375" style="138" customWidth="1"/>
    <col min="1796" max="1796" width="13" style="138" customWidth="1"/>
    <col min="1797" max="1797" width="13.109375" style="138" customWidth="1"/>
    <col min="1798" max="1798" width="12.33203125" style="138" customWidth="1"/>
    <col min="1799" max="1799" width="11.33203125" style="138" customWidth="1"/>
    <col min="1800" max="1800" width="11.77734375" style="138" customWidth="1"/>
    <col min="1801" max="1801" width="10.77734375" style="138" customWidth="1"/>
    <col min="1802" max="1802" width="13.109375" style="138" customWidth="1"/>
    <col min="1803" max="1803" width="11.44140625" style="138" customWidth="1"/>
    <col min="1804" max="1805" width="12.33203125" style="138" customWidth="1"/>
    <col min="1806" max="1806" width="13.109375" style="138" customWidth="1"/>
    <col min="1807" max="1807" width="18.44140625" style="138" customWidth="1"/>
    <col min="1808" max="1808" width="7.33203125" style="138" customWidth="1"/>
    <col min="1809" max="2047" width="8.77734375" style="138"/>
    <col min="2048" max="2048" width="5.33203125" style="138" customWidth="1"/>
    <col min="2049" max="2049" width="5.44140625" style="138" customWidth="1"/>
    <col min="2050" max="2050" width="40.77734375" style="138" customWidth="1"/>
    <col min="2051" max="2051" width="9.77734375" style="138" customWidth="1"/>
    <col min="2052" max="2052" width="13" style="138" customWidth="1"/>
    <col min="2053" max="2053" width="13.109375" style="138" customWidth="1"/>
    <col min="2054" max="2054" width="12.33203125" style="138" customWidth="1"/>
    <col min="2055" max="2055" width="11.33203125" style="138" customWidth="1"/>
    <col min="2056" max="2056" width="11.77734375" style="138" customWidth="1"/>
    <col min="2057" max="2057" width="10.77734375" style="138" customWidth="1"/>
    <col min="2058" max="2058" width="13.109375" style="138" customWidth="1"/>
    <col min="2059" max="2059" width="11.44140625" style="138" customWidth="1"/>
    <col min="2060" max="2061" width="12.33203125" style="138" customWidth="1"/>
    <col min="2062" max="2062" width="13.109375" style="138" customWidth="1"/>
    <col min="2063" max="2063" width="18.44140625" style="138" customWidth="1"/>
    <col min="2064" max="2064" width="7.33203125" style="138" customWidth="1"/>
    <col min="2065" max="2303" width="8.77734375" style="138"/>
    <col min="2304" max="2304" width="5.33203125" style="138" customWidth="1"/>
    <col min="2305" max="2305" width="5.44140625" style="138" customWidth="1"/>
    <col min="2306" max="2306" width="40.77734375" style="138" customWidth="1"/>
    <col min="2307" max="2307" width="9.77734375" style="138" customWidth="1"/>
    <col min="2308" max="2308" width="13" style="138" customWidth="1"/>
    <col min="2309" max="2309" width="13.109375" style="138" customWidth="1"/>
    <col min="2310" max="2310" width="12.33203125" style="138" customWidth="1"/>
    <col min="2311" max="2311" width="11.33203125" style="138" customWidth="1"/>
    <col min="2312" max="2312" width="11.77734375" style="138" customWidth="1"/>
    <col min="2313" max="2313" width="10.77734375" style="138" customWidth="1"/>
    <col min="2314" max="2314" width="13.109375" style="138" customWidth="1"/>
    <col min="2315" max="2315" width="11.44140625" style="138" customWidth="1"/>
    <col min="2316" max="2317" width="12.33203125" style="138" customWidth="1"/>
    <col min="2318" max="2318" width="13.109375" style="138" customWidth="1"/>
    <col min="2319" max="2319" width="18.44140625" style="138" customWidth="1"/>
    <col min="2320" max="2320" width="7.33203125" style="138" customWidth="1"/>
    <col min="2321" max="2559" width="8.77734375" style="138"/>
    <col min="2560" max="2560" width="5.33203125" style="138" customWidth="1"/>
    <col min="2561" max="2561" width="5.44140625" style="138" customWidth="1"/>
    <col min="2562" max="2562" width="40.77734375" style="138" customWidth="1"/>
    <col min="2563" max="2563" width="9.77734375" style="138" customWidth="1"/>
    <col min="2564" max="2564" width="13" style="138" customWidth="1"/>
    <col min="2565" max="2565" width="13.109375" style="138" customWidth="1"/>
    <col min="2566" max="2566" width="12.33203125" style="138" customWidth="1"/>
    <col min="2567" max="2567" width="11.33203125" style="138" customWidth="1"/>
    <col min="2568" max="2568" width="11.77734375" style="138" customWidth="1"/>
    <col min="2569" max="2569" width="10.77734375" style="138" customWidth="1"/>
    <col min="2570" max="2570" width="13.109375" style="138" customWidth="1"/>
    <col min="2571" max="2571" width="11.44140625" style="138" customWidth="1"/>
    <col min="2572" max="2573" width="12.33203125" style="138" customWidth="1"/>
    <col min="2574" max="2574" width="13.109375" style="138" customWidth="1"/>
    <col min="2575" max="2575" width="18.44140625" style="138" customWidth="1"/>
    <col min="2576" max="2576" width="7.33203125" style="138" customWidth="1"/>
    <col min="2577" max="2815" width="8.77734375" style="138"/>
    <col min="2816" max="2816" width="5.33203125" style="138" customWidth="1"/>
    <col min="2817" max="2817" width="5.44140625" style="138" customWidth="1"/>
    <col min="2818" max="2818" width="40.77734375" style="138" customWidth="1"/>
    <col min="2819" max="2819" width="9.77734375" style="138" customWidth="1"/>
    <col min="2820" max="2820" width="13" style="138" customWidth="1"/>
    <col min="2821" max="2821" width="13.109375" style="138" customWidth="1"/>
    <col min="2822" max="2822" width="12.33203125" style="138" customWidth="1"/>
    <col min="2823" max="2823" width="11.33203125" style="138" customWidth="1"/>
    <col min="2824" max="2824" width="11.77734375" style="138" customWidth="1"/>
    <col min="2825" max="2825" width="10.77734375" style="138" customWidth="1"/>
    <col min="2826" max="2826" width="13.109375" style="138" customWidth="1"/>
    <col min="2827" max="2827" width="11.44140625" style="138" customWidth="1"/>
    <col min="2828" max="2829" width="12.33203125" style="138" customWidth="1"/>
    <col min="2830" max="2830" width="13.109375" style="138" customWidth="1"/>
    <col min="2831" max="2831" width="18.44140625" style="138" customWidth="1"/>
    <col min="2832" max="2832" width="7.33203125" style="138" customWidth="1"/>
    <col min="2833" max="3071" width="8.77734375" style="138"/>
    <col min="3072" max="3072" width="5.33203125" style="138" customWidth="1"/>
    <col min="3073" max="3073" width="5.44140625" style="138" customWidth="1"/>
    <col min="3074" max="3074" width="40.77734375" style="138" customWidth="1"/>
    <col min="3075" max="3075" width="9.77734375" style="138" customWidth="1"/>
    <col min="3076" max="3076" width="13" style="138" customWidth="1"/>
    <col min="3077" max="3077" width="13.109375" style="138" customWidth="1"/>
    <col min="3078" max="3078" width="12.33203125" style="138" customWidth="1"/>
    <col min="3079" max="3079" width="11.33203125" style="138" customWidth="1"/>
    <col min="3080" max="3080" width="11.77734375" style="138" customWidth="1"/>
    <col min="3081" max="3081" width="10.77734375" style="138" customWidth="1"/>
    <col min="3082" max="3082" width="13.109375" style="138" customWidth="1"/>
    <col min="3083" max="3083" width="11.44140625" style="138" customWidth="1"/>
    <col min="3084" max="3085" width="12.33203125" style="138" customWidth="1"/>
    <col min="3086" max="3086" width="13.109375" style="138" customWidth="1"/>
    <col min="3087" max="3087" width="18.44140625" style="138" customWidth="1"/>
    <col min="3088" max="3088" width="7.33203125" style="138" customWidth="1"/>
    <col min="3089" max="3327" width="8.77734375" style="138"/>
    <col min="3328" max="3328" width="5.33203125" style="138" customWidth="1"/>
    <col min="3329" max="3329" width="5.44140625" style="138" customWidth="1"/>
    <col min="3330" max="3330" width="40.77734375" style="138" customWidth="1"/>
    <col min="3331" max="3331" width="9.77734375" style="138" customWidth="1"/>
    <col min="3332" max="3332" width="13" style="138" customWidth="1"/>
    <col min="3333" max="3333" width="13.109375" style="138" customWidth="1"/>
    <col min="3334" max="3334" width="12.33203125" style="138" customWidth="1"/>
    <col min="3335" max="3335" width="11.33203125" style="138" customWidth="1"/>
    <col min="3336" max="3336" width="11.77734375" style="138" customWidth="1"/>
    <col min="3337" max="3337" width="10.77734375" style="138" customWidth="1"/>
    <col min="3338" max="3338" width="13.109375" style="138" customWidth="1"/>
    <col min="3339" max="3339" width="11.44140625" style="138" customWidth="1"/>
    <col min="3340" max="3341" width="12.33203125" style="138" customWidth="1"/>
    <col min="3342" max="3342" width="13.109375" style="138" customWidth="1"/>
    <col min="3343" max="3343" width="18.44140625" style="138" customWidth="1"/>
    <col min="3344" max="3344" width="7.33203125" style="138" customWidth="1"/>
    <col min="3345" max="3583" width="8.77734375" style="138"/>
    <col min="3584" max="3584" width="5.33203125" style="138" customWidth="1"/>
    <col min="3585" max="3585" width="5.44140625" style="138" customWidth="1"/>
    <col min="3586" max="3586" width="40.77734375" style="138" customWidth="1"/>
    <col min="3587" max="3587" width="9.77734375" style="138" customWidth="1"/>
    <col min="3588" max="3588" width="13" style="138" customWidth="1"/>
    <col min="3589" max="3589" width="13.109375" style="138" customWidth="1"/>
    <col min="3590" max="3590" width="12.33203125" style="138" customWidth="1"/>
    <col min="3591" max="3591" width="11.33203125" style="138" customWidth="1"/>
    <col min="3592" max="3592" width="11.77734375" style="138" customWidth="1"/>
    <col min="3593" max="3593" width="10.77734375" style="138" customWidth="1"/>
    <col min="3594" max="3594" width="13.109375" style="138" customWidth="1"/>
    <col min="3595" max="3595" width="11.44140625" style="138" customWidth="1"/>
    <col min="3596" max="3597" width="12.33203125" style="138" customWidth="1"/>
    <col min="3598" max="3598" width="13.109375" style="138" customWidth="1"/>
    <col min="3599" max="3599" width="18.44140625" style="138" customWidth="1"/>
    <col min="3600" max="3600" width="7.33203125" style="138" customWidth="1"/>
    <col min="3601" max="3839" width="8.77734375" style="138"/>
    <col min="3840" max="3840" width="5.33203125" style="138" customWidth="1"/>
    <col min="3841" max="3841" width="5.44140625" style="138" customWidth="1"/>
    <col min="3842" max="3842" width="40.77734375" style="138" customWidth="1"/>
    <col min="3843" max="3843" width="9.77734375" style="138" customWidth="1"/>
    <col min="3844" max="3844" width="13" style="138" customWidth="1"/>
    <col min="3845" max="3845" width="13.109375" style="138" customWidth="1"/>
    <col min="3846" max="3846" width="12.33203125" style="138" customWidth="1"/>
    <col min="3847" max="3847" width="11.33203125" style="138" customWidth="1"/>
    <col min="3848" max="3848" width="11.77734375" style="138" customWidth="1"/>
    <col min="3849" max="3849" width="10.77734375" style="138" customWidth="1"/>
    <col min="3850" max="3850" width="13.109375" style="138" customWidth="1"/>
    <col min="3851" max="3851" width="11.44140625" style="138" customWidth="1"/>
    <col min="3852" max="3853" width="12.33203125" style="138" customWidth="1"/>
    <col min="3854" max="3854" width="13.109375" style="138" customWidth="1"/>
    <col min="3855" max="3855" width="18.44140625" style="138" customWidth="1"/>
    <col min="3856" max="3856" width="7.33203125" style="138" customWidth="1"/>
    <col min="3857" max="4095" width="8.77734375" style="138"/>
    <col min="4096" max="4096" width="5.33203125" style="138" customWidth="1"/>
    <col min="4097" max="4097" width="5.44140625" style="138" customWidth="1"/>
    <col min="4098" max="4098" width="40.77734375" style="138" customWidth="1"/>
    <col min="4099" max="4099" width="9.77734375" style="138" customWidth="1"/>
    <col min="4100" max="4100" width="13" style="138" customWidth="1"/>
    <col min="4101" max="4101" width="13.109375" style="138" customWidth="1"/>
    <col min="4102" max="4102" width="12.33203125" style="138" customWidth="1"/>
    <col min="4103" max="4103" width="11.33203125" style="138" customWidth="1"/>
    <col min="4104" max="4104" width="11.77734375" style="138" customWidth="1"/>
    <col min="4105" max="4105" width="10.77734375" style="138" customWidth="1"/>
    <col min="4106" max="4106" width="13.109375" style="138" customWidth="1"/>
    <col min="4107" max="4107" width="11.44140625" style="138" customWidth="1"/>
    <col min="4108" max="4109" width="12.33203125" style="138" customWidth="1"/>
    <col min="4110" max="4110" width="13.109375" style="138" customWidth="1"/>
    <col min="4111" max="4111" width="18.44140625" style="138" customWidth="1"/>
    <col min="4112" max="4112" width="7.33203125" style="138" customWidth="1"/>
    <col min="4113" max="4351" width="8.77734375" style="138"/>
    <col min="4352" max="4352" width="5.33203125" style="138" customWidth="1"/>
    <col min="4353" max="4353" width="5.44140625" style="138" customWidth="1"/>
    <col min="4354" max="4354" width="40.77734375" style="138" customWidth="1"/>
    <col min="4355" max="4355" width="9.77734375" style="138" customWidth="1"/>
    <col min="4356" max="4356" width="13" style="138" customWidth="1"/>
    <col min="4357" max="4357" width="13.109375" style="138" customWidth="1"/>
    <col min="4358" max="4358" width="12.33203125" style="138" customWidth="1"/>
    <col min="4359" max="4359" width="11.33203125" style="138" customWidth="1"/>
    <col min="4360" max="4360" width="11.77734375" style="138" customWidth="1"/>
    <col min="4361" max="4361" width="10.77734375" style="138" customWidth="1"/>
    <col min="4362" max="4362" width="13.109375" style="138" customWidth="1"/>
    <col min="4363" max="4363" width="11.44140625" style="138" customWidth="1"/>
    <col min="4364" max="4365" width="12.33203125" style="138" customWidth="1"/>
    <col min="4366" max="4366" width="13.109375" style="138" customWidth="1"/>
    <col min="4367" max="4367" width="18.44140625" style="138" customWidth="1"/>
    <col min="4368" max="4368" width="7.33203125" style="138" customWidth="1"/>
    <col min="4369" max="4607" width="8.77734375" style="138"/>
    <col min="4608" max="4608" width="5.33203125" style="138" customWidth="1"/>
    <col min="4609" max="4609" width="5.44140625" style="138" customWidth="1"/>
    <col min="4610" max="4610" width="40.77734375" style="138" customWidth="1"/>
    <col min="4611" max="4611" width="9.77734375" style="138" customWidth="1"/>
    <col min="4612" max="4612" width="13" style="138" customWidth="1"/>
    <col min="4613" max="4613" width="13.109375" style="138" customWidth="1"/>
    <col min="4614" max="4614" width="12.33203125" style="138" customWidth="1"/>
    <col min="4615" max="4615" width="11.33203125" style="138" customWidth="1"/>
    <col min="4616" max="4616" width="11.77734375" style="138" customWidth="1"/>
    <col min="4617" max="4617" width="10.77734375" style="138" customWidth="1"/>
    <col min="4618" max="4618" width="13.109375" style="138" customWidth="1"/>
    <col min="4619" max="4619" width="11.44140625" style="138" customWidth="1"/>
    <col min="4620" max="4621" width="12.33203125" style="138" customWidth="1"/>
    <col min="4622" max="4622" width="13.109375" style="138" customWidth="1"/>
    <col min="4623" max="4623" width="18.44140625" style="138" customWidth="1"/>
    <col min="4624" max="4624" width="7.33203125" style="138" customWidth="1"/>
    <col min="4625" max="4863" width="8.77734375" style="138"/>
    <col min="4864" max="4864" width="5.33203125" style="138" customWidth="1"/>
    <col min="4865" max="4865" width="5.44140625" style="138" customWidth="1"/>
    <col min="4866" max="4866" width="40.77734375" style="138" customWidth="1"/>
    <col min="4867" max="4867" width="9.77734375" style="138" customWidth="1"/>
    <col min="4868" max="4868" width="13" style="138" customWidth="1"/>
    <col min="4869" max="4869" width="13.109375" style="138" customWidth="1"/>
    <col min="4870" max="4870" width="12.33203125" style="138" customWidth="1"/>
    <col min="4871" max="4871" width="11.33203125" style="138" customWidth="1"/>
    <col min="4872" max="4872" width="11.77734375" style="138" customWidth="1"/>
    <col min="4873" max="4873" width="10.77734375" style="138" customWidth="1"/>
    <col min="4874" max="4874" width="13.109375" style="138" customWidth="1"/>
    <col min="4875" max="4875" width="11.44140625" style="138" customWidth="1"/>
    <col min="4876" max="4877" width="12.33203125" style="138" customWidth="1"/>
    <col min="4878" max="4878" width="13.109375" style="138" customWidth="1"/>
    <col min="4879" max="4879" width="18.44140625" style="138" customWidth="1"/>
    <col min="4880" max="4880" width="7.33203125" style="138" customWidth="1"/>
    <col min="4881" max="5119" width="8.77734375" style="138"/>
    <col min="5120" max="5120" width="5.33203125" style="138" customWidth="1"/>
    <col min="5121" max="5121" width="5.44140625" style="138" customWidth="1"/>
    <col min="5122" max="5122" width="40.77734375" style="138" customWidth="1"/>
    <col min="5123" max="5123" width="9.77734375" style="138" customWidth="1"/>
    <col min="5124" max="5124" width="13" style="138" customWidth="1"/>
    <col min="5125" max="5125" width="13.109375" style="138" customWidth="1"/>
    <col min="5126" max="5126" width="12.33203125" style="138" customWidth="1"/>
    <col min="5127" max="5127" width="11.33203125" style="138" customWidth="1"/>
    <col min="5128" max="5128" width="11.77734375" style="138" customWidth="1"/>
    <col min="5129" max="5129" width="10.77734375" style="138" customWidth="1"/>
    <col min="5130" max="5130" width="13.109375" style="138" customWidth="1"/>
    <col min="5131" max="5131" width="11.44140625" style="138" customWidth="1"/>
    <col min="5132" max="5133" width="12.33203125" style="138" customWidth="1"/>
    <col min="5134" max="5134" width="13.109375" style="138" customWidth="1"/>
    <col min="5135" max="5135" width="18.44140625" style="138" customWidth="1"/>
    <col min="5136" max="5136" width="7.33203125" style="138" customWidth="1"/>
    <col min="5137" max="5375" width="8.77734375" style="138"/>
    <col min="5376" max="5376" width="5.33203125" style="138" customWidth="1"/>
    <col min="5377" max="5377" width="5.44140625" style="138" customWidth="1"/>
    <col min="5378" max="5378" width="40.77734375" style="138" customWidth="1"/>
    <col min="5379" max="5379" width="9.77734375" style="138" customWidth="1"/>
    <col min="5380" max="5380" width="13" style="138" customWidth="1"/>
    <col min="5381" max="5381" width="13.109375" style="138" customWidth="1"/>
    <col min="5382" max="5382" width="12.33203125" style="138" customWidth="1"/>
    <col min="5383" max="5383" width="11.33203125" style="138" customWidth="1"/>
    <col min="5384" max="5384" width="11.77734375" style="138" customWidth="1"/>
    <col min="5385" max="5385" width="10.77734375" style="138" customWidth="1"/>
    <col min="5386" max="5386" width="13.109375" style="138" customWidth="1"/>
    <col min="5387" max="5387" width="11.44140625" style="138" customWidth="1"/>
    <col min="5388" max="5389" width="12.33203125" style="138" customWidth="1"/>
    <col min="5390" max="5390" width="13.109375" style="138" customWidth="1"/>
    <col min="5391" max="5391" width="18.44140625" style="138" customWidth="1"/>
    <col min="5392" max="5392" width="7.33203125" style="138" customWidth="1"/>
    <col min="5393" max="5631" width="8.77734375" style="138"/>
    <col min="5632" max="5632" width="5.33203125" style="138" customWidth="1"/>
    <col min="5633" max="5633" width="5.44140625" style="138" customWidth="1"/>
    <col min="5634" max="5634" width="40.77734375" style="138" customWidth="1"/>
    <col min="5635" max="5635" width="9.77734375" style="138" customWidth="1"/>
    <col min="5636" max="5636" width="13" style="138" customWidth="1"/>
    <col min="5637" max="5637" width="13.109375" style="138" customWidth="1"/>
    <col min="5638" max="5638" width="12.33203125" style="138" customWidth="1"/>
    <col min="5639" max="5639" width="11.33203125" style="138" customWidth="1"/>
    <col min="5640" max="5640" width="11.77734375" style="138" customWidth="1"/>
    <col min="5641" max="5641" width="10.77734375" style="138" customWidth="1"/>
    <col min="5642" max="5642" width="13.109375" style="138" customWidth="1"/>
    <col min="5643" max="5643" width="11.44140625" style="138" customWidth="1"/>
    <col min="5644" max="5645" width="12.33203125" style="138" customWidth="1"/>
    <col min="5646" max="5646" width="13.109375" style="138" customWidth="1"/>
    <col min="5647" max="5647" width="18.44140625" style="138" customWidth="1"/>
    <col min="5648" max="5648" width="7.33203125" style="138" customWidth="1"/>
    <col min="5649" max="5887" width="8.77734375" style="138"/>
    <col min="5888" max="5888" width="5.33203125" style="138" customWidth="1"/>
    <col min="5889" max="5889" width="5.44140625" style="138" customWidth="1"/>
    <col min="5890" max="5890" width="40.77734375" style="138" customWidth="1"/>
    <col min="5891" max="5891" width="9.77734375" style="138" customWidth="1"/>
    <col min="5892" max="5892" width="13" style="138" customWidth="1"/>
    <col min="5893" max="5893" width="13.109375" style="138" customWidth="1"/>
    <col min="5894" max="5894" width="12.33203125" style="138" customWidth="1"/>
    <col min="5895" max="5895" width="11.33203125" style="138" customWidth="1"/>
    <col min="5896" max="5896" width="11.77734375" style="138" customWidth="1"/>
    <col min="5897" max="5897" width="10.77734375" style="138" customWidth="1"/>
    <col min="5898" max="5898" width="13.109375" style="138" customWidth="1"/>
    <col min="5899" max="5899" width="11.44140625" style="138" customWidth="1"/>
    <col min="5900" max="5901" width="12.33203125" style="138" customWidth="1"/>
    <col min="5902" max="5902" width="13.109375" style="138" customWidth="1"/>
    <col min="5903" max="5903" width="18.44140625" style="138" customWidth="1"/>
    <col min="5904" max="5904" width="7.33203125" style="138" customWidth="1"/>
    <col min="5905" max="6143" width="8.77734375" style="138"/>
    <col min="6144" max="6144" width="5.33203125" style="138" customWidth="1"/>
    <col min="6145" max="6145" width="5.44140625" style="138" customWidth="1"/>
    <col min="6146" max="6146" width="40.77734375" style="138" customWidth="1"/>
    <col min="6147" max="6147" width="9.77734375" style="138" customWidth="1"/>
    <col min="6148" max="6148" width="13" style="138" customWidth="1"/>
    <col min="6149" max="6149" width="13.109375" style="138" customWidth="1"/>
    <col min="6150" max="6150" width="12.33203125" style="138" customWidth="1"/>
    <col min="6151" max="6151" width="11.33203125" style="138" customWidth="1"/>
    <col min="6152" max="6152" width="11.77734375" style="138" customWidth="1"/>
    <col min="6153" max="6153" width="10.77734375" style="138" customWidth="1"/>
    <col min="6154" max="6154" width="13.109375" style="138" customWidth="1"/>
    <col min="6155" max="6155" width="11.44140625" style="138" customWidth="1"/>
    <col min="6156" max="6157" width="12.33203125" style="138" customWidth="1"/>
    <col min="6158" max="6158" width="13.109375" style="138" customWidth="1"/>
    <col min="6159" max="6159" width="18.44140625" style="138" customWidth="1"/>
    <col min="6160" max="6160" width="7.33203125" style="138" customWidth="1"/>
    <col min="6161" max="6399" width="8.77734375" style="138"/>
    <col min="6400" max="6400" width="5.33203125" style="138" customWidth="1"/>
    <col min="6401" max="6401" width="5.44140625" style="138" customWidth="1"/>
    <col min="6402" max="6402" width="40.77734375" style="138" customWidth="1"/>
    <col min="6403" max="6403" width="9.77734375" style="138" customWidth="1"/>
    <col min="6404" max="6404" width="13" style="138" customWidth="1"/>
    <col min="6405" max="6405" width="13.109375" style="138" customWidth="1"/>
    <col min="6406" max="6406" width="12.33203125" style="138" customWidth="1"/>
    <col min="6407" max="6407" width="11.33203125" style="138" customWidth="1"/>
    <col min="6408" max="6408" width="11.77734375" style="138" customWidth="1"/>
    <col min="6409" max="6409" width="10.77734375" style="138" customWidth="1"/>
    <col min="6410" max="6410" width="13.109375" style="138" customWidth="1"/>
    <col min="6411" max="6411" width="11.44140625" style="138" customWidth="1"/>
    <col min="6412" max="6413" width="12.33203125" style="138" customWidth="1"/>
    <col min="6414" max="6414" width="13.109375" style="138" customWidth="1"/>
    <col min="6415" max="6415" width="18.44140625" style="138" customWidth="1"/>
    <col min="6416" max="6416" width="7.33203125" style="138" customWidth="1"/>
    <col min="6417" max="6655" width="8.77734375" style="138"/>
    <col min="6656" max="6656" width="5.33203125" style="138" customWidth="1"/>
    <col min="6657" max="6657" width="5.44140625" style="138" customWidth="1"/>
    <col min="6658" max="6658" width="40.77734375" style="138" customWidth="1"/>
    <col min="6659" max="6659" width="9.77734375" style="138" customWidth="1"/>
    <col min="6660" max="6660" width="13" style="138" customWidth="1"/>
    <col min="6661" max="6661" width="13.109375" style="138" customWidth="1"/>
    <col min="6662" max="6662" width="12.33203125" style="138" customWidth="1"/>
    <col min="6663" max="6663" width="11.33203125" style="138" customWidth="1"/>
    <col min="6664" max="6664" width="11.77734375" style="138" customWidth="1"/>
    <col min="6665" max="6665" width="10.77734375" style="138" customWidth="1"/>
    <col min="6666" max="6666" width="13.109375" style="138" customWidth="1"/>
    <col min="6667" max="6667" width="11.44140625" style="138" customWidth="1"/>
    <col min="6668" max="6669" width="12.33203125" style="138" customWidth="1"/>
    <col min="6670" max="6670" width="13.109375" style="138" customWidth="1"/>
    <col min="6671" max="6671" width="18.44140625" style="138" customWidth="1"/>
    <col min="6672" max="6672" width="7.33203125" style="138" customWidth="1"/>
    <col min="6673" max="6911" width="8.77734375" style="138"/>
    <col min="6912" max="6912" width="5.33203125" style="138" customWidth="1"/>
    <col min="6913" max="6913" width="5.44140625" style="138" customWidth="1"/>
    <col min="6914" max="6914" width="40.77734375" style="138" customWidth="1"/>
    <col min="6915" max="6915" width="9.77734375" style="138" customWidth="1"/>
    <col min="6916" max="6916" width="13" style="138" customWidth="1"/>
    <col min="6917" max="6917" width="13.109375" style="138" customWidth="1"/>
    <col min="6918" max="6918" width="12.33203125" style="138" customWidth="1"/>
    <col min="6919" max="6919" width="11.33203125" style="138" customWidth="1"/>
    <col min="6920" max="6920" width="11.77734375" style="138" customWidth="1"/>
    <col min="6921" max="6921" width="10.77734375" style="138" customWidth="1"/>
    <col min="6922" max="6922" width="13.109375" style="138" customWidth="1"/>
    <col min="6923" max="6923" width="11.44140625" style="138" customWidth="1"/>
    <col min="6924" max="6925" width="12.33203125" style="138" customWidth="1"/>
    <col min="6926" max="6926" width="13.109375" style="138" customWidth="1"/>
    <col min="6927" max="6927" width="18.44140625" style="138" customWidth="1"/>
    <col min="6928" max="6928" width="7.33203125" style="138" customWidth="1"/>
    <col min="6929" max="7167" width="8.77734375" style="138"/>
    <col min="7168" max="7168" width="5.33203125" style="138" customWidth="1"/>
    <col min="7169" max="7169" width="5.44140625" style="138" customWidth="1"/>
    <col min="7170" max="7170" width="40.77734375" style="138" customWidth="1"/>
    <col min="7171" max="7171" width="9.77734375" style="138" customWidth="1"/>
    <col min="7172" max="7172" width="13" style="138" customWidth="1"/>
    <col min="7173" max="7173" width="13.109375" style="138" customWidth="1"/>
    <col min="7174" max="7174" width="12.33203125" style="138" customWidth="1"/>
    <col min="7175" max="7175" width="11.33203125" style="138" customWidth="1"/>
    <col min="7176" max="7176" width="11.77734375" style="138" customWidth="1"/>
    <col min="7177" max="7177" width="10.77734375" style="138" customWidth="1"/>
    <col min="7178" max="7178" width="13.109375" style="138" customWidth="1"/>
    <col min="7179" max="7179" width="11.44140625" style="138" customWidth="1"/>
    <col min="7180" max="7181" width="12.33203125" style="138" customWidth="1"/>
    <col min="7182" max="7182" width="13.109375" style="138" customWidth="1"/>
    <col min="7183" max="7183" width="18.44140625" style="138" customWidth="1"/>
    <col min="7184" max="7184" width="7.33203125" style="138" customWidth="1"/>
    <col min="7185" max="7423" width="8.77734375" style="138"/>
    <col min="7424" max="7424" width="5.33203125" style="138" customWidth="1"/>
    <col min="7425" max="7425" width="5.44140625" style="138" customWidth="1"/>
    <col min="7426" max="7426" width="40.77734375" style="138" customWidth="1"/>
    <col min="7427" max="7427" width="9.77734375" style="138" customWidth="1"/>
    <col min="7428" max="7428" width="13" style="138" customWidth="1"/>
    <col min="7429" max="7429" width="13.109375" style="138" customWidth="1"/>
    <col min="7430" max="7430" width="12.33203125" style="138" customWidth="1"/>
    <col min="7431" max="7431" width="11.33203125" style="138" customWidth="1"/>
    <col min="7432" max="7432" width="11.77734375" style="138" customWidth="1"/>
    <col min="7433" max="7433" width="10.77734375" style="138" customWidth="1"/>
    <col min="7434" max="7434" width="13.109375" style="138" customWidth="1"/>
    <col min="7435" max="7435" width="11.44140625" style="138" customWidth="1"/>
    <col min="7436" max="7437" width="12.33203125" style="138" customWidth="1"/>
    <col min="7438" max="7438" width="13.109375" style="138" customWidth="1"/>
    <col min="7439" max="7439" width="18.44140625" style="138" customWidth="1"/>
    <col min="7440" max="7440" width="7.33203125" style="138" customWidth="1"/>
    <col min="7441" max="7679" width="8.77734375" style="138"/>
    <col min="7680" max="7680" width="5.33203125" style="138" customWidth="1"/>
    <col min="7681" max="7681" width="5.44140625" style="138" customWidth="1"/>
    <col min="7682" max="7682" width="40.77734375" style="138" customWidth="1"/>
    <col min="7683" max="7683" width="9.77734375" style="138" customWidth="1"/>
    <col min="7684" max="7684" width="13" style="138" customWidth="1"/>
    <col min="7685" max="7685" width="13.109375" style="138" customWidth="1"/>
    <col min="7686" max="7686" width="12.33203125" style="138" customWidth="1"/>
    <col min="7687" max="7687" width="11.33203125" style="138" customWidth="1"/>
    <col min="7688" max="7688" width="11.77734375" style="138" customWidth="1"/>
    <col min="7689" max="7689" width="10.77734375" style="138" customWidth="1"/>
    <col min="7690" max="7690" width="13.109375" style="138" customWidth="1"/>
    <col min="7691" max="7691" width="11.44140625" style="138" customWidth="1"/>
    <col min="7692" max="7693" width="12.33203125" style="138" customWidth="1"/>
    <col min="7694" max="7694" width="13.109375" style="138" customWidth="1"/>
    <col min="7695" max="7695" width="18.44140625" style="138" customWidth="1"/>
    <col min="7696" max="7696" width="7.33203125" style="138" customWidth="1"/>
    <col min="7697" max="7935" width="8.77734375" style="138"/>
    <col min="7936" max="7936" width="5.33203125" style="138" customWidth="1"/>
    <col min="7937" max="7937" width="5.44140625" style="138" customWidth="1"/>
    <col min="7938" max="7938" width="40.77734375" style="138" customWidth="1"/>
    <col min="7939" max="7939" width="9.77734375" style="138" customWidth="1"/>
    <col min="7940" max="7940" width="13" style="138" customWidth="1"/>
    <col min="7941" max="7941" width="13.109375" style="138" customWidth="1"/>
    <col min="7942" max="7942" width="12.33203125" style="138" customWidth="1"/>
    <col min="7943" max="7943" width="11.33203125" style="138" customWidth="1"/>
    <col min="7944" max="7944" width="11.77734375" style="138" customWidth="1"/>
    <col min="7945" max="7945" width="10.77734375" style="138" customWidth="1"/>
    <col min="7946" max="7946" width="13.109375" style="138" customWidth="1"/>
    <col min="7947" max="7947" width="11.44140625" style="138" customWidth="1"/>
    <col min="7948" max="7949" width="12.33203125" style="138" customWidth="1"/>
    <col min="7950" max="7950" width="13.109375" style="138" customWidth="1"/>
    <col min="7951" max="7951" width="18.44140625" style="138" customWidth="1"/>
    <col min="7952" max="7952" width="7.33203125" style="138" customWidth="1"/>
    <col min="7953" max="8191" width="8.77734375" style="138"/>
    <col min="8192" max="8192" width="5.33203125" style="138" customWidth="1"/>
    <col min="8193" max="8193" width="5.44140625" style="138" customWidth="1"/>
    <col min="8194" max="8194" width="40.77734375" style="138" customWidth="1"/>
    <col min="8195" max="8195" width="9.77734375" style="138" customWidth="1"/>
    <col min="8196" max="8196" width="13" style="138" customWidth="1"/>
    <col min="8197" max="8197" width="13.109375" style="138" customWidth="1"/>
    <col min="8198" max="8198" width="12.33203125" style="138" customWidth="1"/>
    <col min="8199" max="8199" width="11.33203125" style="138" customWidth="1"/>
    <col min="8200" max="8200" width="11.77734375" style="138" customWidth="1"/>
    <col min="8201" max="8201" width="10.77734375" style="138" customWidth="1"/>
    <col min="8202" max="8202" width="13.109375" style="138" customWidth="1"/>
    <col min="8203" max="8203" width="11.44140625" style="138" customWidth="1"/>
    <col min="8204" max="8205" width="12.33203125" style="138" customWidth="1"/>
    <col min="8206" max="8206" width="13.109375" style="138" customWidth="1"/>
    <col min="8207" max="8207" width="18.44140625" style="138" customWidth="1"/>
    <col min="8208" max="8208" width="7.33203125" style="138" customWidth="1"/>
    <col min="8209" max="8447" width="8.77734375" style="138"/>
    <col min="8448" max="8448" width="5.33203125" style="138" customWidth="1"/>
    <col min="8449" max="8449" width="5.44140625" style="138" customWidth="1"/>
    <col min="8450" max="8450" width="40.77734375" style="138" customWidth="1"/>
    <col min="8451" max="8451" width="9.77734375" style="138" customWidth="1"/>
    <col min="8452" max="8452" width="13" style="138" customWidth="1"/>
    <col min="8453" max="8453" width="13.109375" style="138" customWidth="1"/>
    <col min="8454" max="8454" width="12.33203125" style="138" customWidth="1"/>
    <col min="8455" max="8455" width="11.33203125" style="138" customWidth="1"/>
    <col min="8456" max="8456" width="11.77734375" style="138" customWidth="1"/>
    <col min="8457" max="8457" width="10.77734375" style="138" customWidth="1"/>
    <col min="8458" max="8458" width="13.109375" style="138" customWidth="1"/>
    <col min="8459" max="8459" width="11.44140625" style="138" customWidth="1"/>
    <col min="8460" max="8461" width="12.33203125" style="138" customWidth="1"/>
    <col min="8462" max="8462" width="13.109375" style="138" customWidth="1"/>
    <col min="8463" max="8463" width="18.44140625" style="138" customWidth="1"/>
    <col min="8464" max="8464" width="7.33203125" style="138" customWidth="1"/>
    <col min="8465" max="8703" width="8.77734375" style="138"/>
    <col min="8704" max="8704" width="5.33203125" style="138" customWidth="1"/>
    <col min="8705" max="8705" width="5.44140625" style="138" customWidth="1"/>
    <col min="8706" max="8706" width="40.77734375" style="138" customWidth="1"/>
    <col min="8707" max="8707" width="9.77734375" style="138" customWidth="1"/>
    <col min="8708" max="8708" width="13" style="138" customWidth="1"/>
    <col min="8709" max="8709" width="13.109375" style="138" customWidth="1"/>
    <col min="8710" max="8710" width="12.33203125" style="138" customWidth="1"/>
    <col min="8711" max="8711" width="11.33203125" style="138" customWidth="1"/>
    <col min="8712" max="8712" width="11.77734375" style="138" customWidth="1"/>
    <col min="8713" max="8713" width="10.77734375" style="138" customWidth="1"/>
    <col min="8714" max="8714" width="13.109375" style="138" customWidth="1"/>
    <col min="8715" max="8715" width="11.44140625" style="138" customWidth="1"/>
    <col min="8716" max="8717" width="12.33203125" style="138" customWidth="1"/>
    <col min="8718" max="8718" width="13.109375" style="138" customWidth="1"/>
    <col min="8719" max="8719" width="18.44140625" style="138" customWidth="1"/>
    <col min="8720" max="8720" width="7.33203125" style="138" customWidth="1"/>
    <col min="8721" max="8959" width="8.77734375" style="138"/>
    <col min="8960" max="8960" width="5.33203125" style="138" customWidth="1"/>
    <col min="8961" max="8961" width="5.44140625" style="138" customWidth="1"/>
    <col min="8962" max="8962" width="40.77734375" style="138" customWidth="1"/>
    <col min="8963" max="8963" width="9.77734375" style="138" customWidth="1"/>
    <col min="8964" max="8964" width="13" style="138" customWidth="1"/>
    <col min="8965" max="8965" width="13.109375" style="138" customWidth="1"/>
    <col min="8966" max="8966" width="12.33203125" style="138" customWidth="1"/>
    <col min="8967" max="8967" width="11.33203125" style="138" customWidth="1"/>
    <col min="8968" max="8968" width="11.77734375" style="138" customWidth="1"/>
    <col min="8969" max="8969" width="10.77734375" style="138" customWidth="1"/>
    <col min="8970" max="8970" width="13.109375" style="138" customWidth="1"/>
    <col min="8971" max="8971" width="11.44140625" style="138" customWidth="1"/>
    <col min="8972" max="8973" width="12.33203125" style="138" customWidth="1"/>
    <col min="8974" max="8974" width="13.109375" style="138" customWidth="1"/>
    <col min="8975" max="8975" width="18.44140625" style="138" customWidth="1"/>
    <col min="8976" max="8976" width="7.33203125" style="138" customWidth="1"/>
    <col min="8977" max="9215" width="8.77734375" style="138"/>
    <col min="9216" max="9216" width="5.33203125" style="138" customWidth="1"/>
    <col min="9217" max="9217" width="5.44140625" style="138" customWidth="1"/>
    <col min="9218" max="9218" width="40.77734375" style="138" customWidth="1"/>
    <col min="9219" max="9219" width="9.77734375" style="138" customWidth="1"/>
    <col min="9220" max="9220" width="13" style="138" customWidth="1"/>
    <col min="9221" max="9221" width="13.109375" style="138" customWidth="1"/>
    <col min="9222" max="9222" width="12.33203125" style="138" customWidth="1"/>
    <col min="9223" max="9223" width="11.33203125" style="138" customWidth="1"/>
    <col min="9224" max="9224" width="11.77734375" style="138" customWidth="1"/>
    <col min="9225" max="9225" width="10.77734375" style="138" customWidth="1"/>
    <col min="9226" max="9226" width="13.109375" style="138" customWidth="1"/>
    <col min="9227" max="9227" width="11.44140625" style="138" customWidth="1"/>
    <col min="9228" max="9229" width="12.33203125" style="138" customWidth="1"/>
    <col min="9230" max="9230" width="13.109375" style="138" customWidth="1"/>
    <col min="9231" max="9231" width="18.44140625" style="138" customWidth="1"/>
    <col min="9232" max="9232" width="7.33203125" style="138" customWidth="1"/>
    <col min="9233" max="9471" width="8.77734375" style="138"/>
    <col min="9472" max="9472" width="5.33203125" style="138" customWidth="1"/>
    <col min="9473" max="9473" width="5.44140625" style="138" customWidth="1"/>
    <col min="9474" max="9474" width="40.77734375" style="138" customWidth="1"/>
    <col min="9475" max="9475" width="9.77734375" style="138" customWidth="1"/>
    <col min="9476" max="9476" width="13" style="138" customWidth="1"/>
    <col min="9477" max="9477" width="13.109375" style="138" customWidth="1"/>
    <col min="9478" max="9478" width="12.33203125" style="138" customWidth="1"/>
    <col min="9479" max="9479" width="11.33203125" style="138" customWidth="1"/>
    <col min="9480" max="9480" width="11.77734375" style="138" customWidth="1"/>
    <col min="9481" max="9481" width="10.77734375" style="138" customWidth="1"/>
    <col min="9482" max="9482" width="13.109375" style="138" customWidth="1"/>
    <col min="9483" max="9483" width="11.44140625" style="138" customWidth="1"/>
    <col min="9484" max="9485" width="12.33203125" style="138" customWidth="1"/>
    <col min="9486" max="9486" width="13.109375" style="138" customWidth="1"/>
    <col min="9487" max="9487" width="18.44140625" style="138" customWidth="1"/>
    <col min="9488" max="9488" width="7.33203125" style="138" customWidth="1"/>
    <col min="9489" max="9727" width="8.77734375" style="138"/>
    <col min="9728" max="9728" width="5.33203125" style="138" customWidth="1"/>
    <col min="9729" max="9729" width="5.44140625" style="138" customWidth="1"/>
    <col min="9730" max="9730" width="40.77734375" style="138" customWidth="1"/>
    <col min="9731" max="9731" width="9.77734375" style="138" customWidth="1"/>
    <col min="9732" max="9732" width="13" style="138" customWidth="1"/>
    <col min="9733" max="9733" width="13.109375" style="138" customWidth="1"/>
    <col min="9734" max="9734" width="12.33203125" style="138" customWidth="1"/>
    <col min="9735" max="9735" width="11.33203125" style="138" customWidth="1"/>
    <col min="9736" max="9736" width="11.77734375" style="138" customWidth="1"/>
    <col min="9737" max="9737" width="10.77734375" style="138" customWidth="1"/>
    <col min="9738" max="9738" width="13.109375" style="138" customWidth="1"/>
    <col min="9739" max="9739" width="11.44140625" style="138" customWidth="1"/>
    <col min="9740" max="9741" width="12.33203125" style="138" customWidth="1"/>
    <col min="9742" max="9742" width="13.109375" style="138" customWidth="1"/>
    <col min="9743" max="9743" width="18.44140625" style="138" customWidth="1"/>
    <col min="9744" max="9744" width="7.33203125" style="138" customWidth="1"/>
    <col min="9745" max="9983" width="8.77734375" style="138"/>
    <col min="9984" max="9984" width="5.33203125" style="138" customWidth="1"/>
    <col min="9985" max="9985" width="5.44140625" style="138" customWidth="1"/>
    <col min="9986" max="9986" width="40.77734375" style="138" customWidth="1"/>
    <col min="9987" max="9987" width="9.77734375" style="138" customWidth="1"/>
    <col min="9988" max="9988" width="13" style="138" customWidth="1"/>
    <col min="9989" max="9989" width="13.109375" style="138" customWidth="1"/>
    <col min="9990" max="9990" width="12.33203125" style="138" customWidth="1"/>
    <col min="9991" max="9991" width="11.33203125" style="138" customWidth="1"/>
    <col min="9992" max="9992" width="11.77734375" style="138" customWidth="1"/>
    <col min="9993" max="9993" width="10.77734375" style="138" customWidth="1"/>
    <col min="9994" max="9994" width="13.109375" style="138" customWidth="1"/>
    <col min="9995" max="9995" width="11.44140625" style="138" customWidth="1"/>
    <col min="9996" max="9997" width="12.33203125" style="138" customWidth="1"/>
    <col min="9998" max="9998" width="13.109375" style="138" customWidth="1"/>
    <col min="9999" max="9999" width="18.44140625" style="138" customWidth="1"/>
    <col min="10000" max="10000" width="7.33203125" style="138" customWidth="1"/>
    <col min="10001" max="10239" width="8.77734375" style="138"/>
    <col min="10240" max="10240" width="5.33203125" style="138" customWidth="1"/>
    <col min="10241" max="10241" width="5.44140625" style="138" customWidth="1"/>
    <col min="10242" max="10242" width="40.77734375" style="138" customWidth="1"/>
    <col min="10243" max="10243" width="9.77734375" style="138" customWidth="1"/>
    <col min="10244" max="10244" width="13" style="138" customWidth="1"/>
    <col min="10245" max="10245" width="13.109375" style="138" customWidth="1"/>
    <col min="10246" max="10246" width="12.33203125" style="138" customWidth="1"/>
    <col min="10247" max="10247" width="11.33203125" style="138" customWidth="1"/>
    <col min="10248" max="10248" width="11.77734375" style="138" customWidth="1"/>
    <col min="10249" max="10249" width="10.77734375" style="138" customWidth="1"/>
    <col min="10250" max="10250" width="13.109375" style="138" customWidth="1"/>
    <col min="10251" max="10251" width="11.44140625" style="138" customWidth="1"/>
    <col min="10252" max="10253" width="12.33203125" style="138" customWidth="1"/>
    <col min="10254" max="10254" width="13.109375" style="138" customWidth="1"/>
    <col min="10255" max="10255" width="18.44140625" style="138" customWidth="1"/>
    <col min="10256" max="10256" width="7.33203125" style="138" customWidth="1"/>
    <col min="10257" max="10495" width="8.77734375" style="138"/>
    <col min="10496" max="10496" width="5.33203125" style="138" customWidth="1"/>
    <col min="10497" max="10497" width="5.44140625" style="138" customWidth="1"/>
    <col min="10498" max="10498" width="40.77734375" style="138" customWidth="1"/>
    <col min="10499" max="10499" width="9.77734375" style="138" customWidth="1"/>
    <col min="10500" max="10500" width="13" style="138" customWidth="1"/>
    <col min="10501" max="10501" width="13.109375" style="138" customWidth="1"/>
    <col min="10502" max="10502" width="12.33203125" style="138" customWidth="1"/>
    <col min="10503" max="10503" width="11.33203125" style="138" customWidth="1"/>
    <col min="10504" max="10504" width="11.77734375" style="138" customWidth="1"/>
    <col min="10505" max="10505" width="10.77734375" style="138" customWidth="1"/>
    <col min="10506" max="10506" width="13.109375" style="138" customWidth="1"/>
    <col min="10507" max="10507" width="11.44140625" style="138" customWidth="1"/>
    <col min="10508" max="10509" width="12.33203125" style="138" customWidth="1"/>
    <col min="10510" max="10510" width="13.109375" style="138" customWidth="1"/>
    <col min="10511" max="10511" width="18.44140625" style="138" customWidth="1"/>
    <col min="10512" max="10512" width="7.33203125" style="138" customWidth="1"/>
    <col min="10513" max="10751" width="8.77734375" style="138"/>
    <col min="10752" max="10752" width="5.33203125" style="138" customWidth="1"/>
    <col min="10753" max="10753" width="5.44140625" style="138" customWidth="1"/>
    <col min="10754" max="10754" width="40.77734375" style="138" customWidth="1"/>
    <col min="10755" max="10755" width="9.77734375" style="138" customWidth="1"/>
    <col min="10756" max="10756" width="13" style="138" customWidth="1"/>
    <col min="10757" max="10757" width="13.109375" style="138" customWidth="1"/>
    <col min="10758" max="10758" width="12.33203125" style="138" customWidth="1"/>
    <col min="10759" max="10759" width="11.33203125" style="138" customWidth="1"/>
    <col min="10760" max="10760" width="11.77734375" style="138" customWidth="1"/>
    <col min="10761" max="10761" width="10.77734375" style="138" customWidth="1"/>
    <col min="10762" max="10762" width="13.109375" style="138" customWidth="1"/>
    <col min="10763" max="10763" width="11.44140625" style="138" customWidth="1"/>
    <col min="10764" max="10765" width="12.33203125" style="138" customWidth="1"/>
    <col min="10766" max="10766" width="13.109375" style="138" customWidth="1"/>
    <col min="10767" max="10767" width="18.44140625" style="138" customWidth="1"/>
    <col min="10768" max="10768" width="7.33203125" style="138" customWidth="1"/>
    <col min="10769" max="11007" width="8.77734375" style="138"/>
    <col min="11008" max="11008" width="5.33203125" style="138" customWidth="1"/>
    <col min="11009" max="11009" width="5.44140625" style="138" customWidth="1"/>
    <col min="11010" max="11010" width="40.77734375" style="138" customWidth="1"/>
    <col min="11011" max="11011" width="9.77734375" style="138" customWidth="1"/>
    <col min="11012" max="11012" width="13" style="138" customWidth="1"/>
    <col min="11013" max="11013" width="13.109375" style="138" customWidth="1"/>
    <col min="11014" max="11014" width="12.33203125" style="138" customWidth="1"/>
    <col min="11015" max="11015" width="11.33203125" style="138" customWidth="1"/>
    <col min="11016" max="11016" width="11.77734375" style="138" customWidth="1"/>
    <col min="11017" max="11017" width="10.77734375" style="138" customWidth="1"/>
    <col min="11018" max="11018" width="13.109375" style="138" customWidth="1"/>
    <col min="11019" max="11019" width="11.44140625" style="138" customWidth="1"/>
    <col min="11020" max="11021" width="12.33203125" style="138" customWidth="1"/>
    <col min="11022" max="11022" width="13.109375" style="138" customWidth="1"/>
    <col min="11023" max="11023" width="18.44140625" style="138" customWidth="1"/>
    <col min="11024" max="11024" width="7.33203125" style="138" customWidth="1"/>
    <col min="11025" max="11263" width="8.77734375" style="138"/>
    <col min="11264" max="11264" width="5.33203125" style="138" customWidth="1"/>
    <col min="11265" max="11265" width="5.44140625" style="138" customWidth="1"/>
    <col min="11266" max="11266" width="40.77734375" style="138" customWidth="1"/>
    <col min="11267" max="11267" width="9.77734375" style="138" customWidth="1"/>
    <col min="11268" max="11268" width="13" style="138" customWidth="1"/>
    <col min="11269" max="11269" width="13.109375" style="138" customWidth="1"/>
    <col min="11270" max="11270" width="12.33203125" style="138" customWidth="1"/>
    <col min="11271" max="11271" width="11.33203125" style="138" customWidth="1"/>
    <col min="11272" max="11272" width="11.77734375" style="138" customWidth="1"/>
    <col min="11273" max="11273" width="10.77734375" style="138" customWidth="1"/>
    <col min="11274" max="11274" width="13.109375" style="138" customWidth="1"/>
    <col min="11275" max="11275" width="11.44140625" style="138" customWidth="1"/>
    <col min="11276" max="11277" width="12.33203125" style="138" customWidth="1"/>
    <col min="11278" max="11278" width="13.109375" style="138" customWidth="1"/>
    <col min="11279" max="11279" width="18.44140625" style="138" customWidth="1"/>
    <col min="11280" max="11280" width="7.33203125" style="138" customWidth="1"/>
    <col min="11281" max="11519" width="8.77734375" style="138"/>
    <col min="11520" max="11520" width="5.33203125" style="138" customWidth="1"/>
    <col min="11521" max="11521" width="5.44140625" style="138" customWidth="1"/>
    <col min="11522" max="11522" width="40.77734375" style="138" customWidth="1"/>
    <col min="11523" max="11523" width="9.77734375" style="138" customWidth="1"/>
    <col min="11524" max="11524" width="13" style="138" customWidth="1"/>
    <col min="11525" max="11525" width="13.109375" style="138" customWidth="1"/>
    <col min="11526" max="11526" width="12.33203125" style="138" customWidth="1"/>
    <col min="11527" max="11527" width="11.33203125" style="138" customWidth="1"/>
    <col min="11528" max="11528" width="11.77734375" style="138" customWidth="1"/>
    <col min="11529" max="11529" width="10.77734375" style="138" customWidth="1"/>
    <col min="11530" max="11530" width="13.109375" style="138" customWidth="1"/>
    <col min="11531" max="11531" width="11.44140625" style="138" customWidth="1"/>
    <col min="11532" max="11533" width="12.33203125" style="138" customWidth="1"/>
    <col min="11534" max="11534" width="13.109375" style="138" customWidth="1"/>
    <col min="11535" max="11535" width="18.44140625" style="138" customWidth="1"/>
    <col min="11536" max="11536" width="7.33203125" style="138" customWidth="1"/>
    <col min="11537" max="11775" width="8.77734375" style="138"/>
    <col min="11776" max="11776" width="5.33203125" style="138" customWidth="1"/>
    <col min="11777" max="11777" width="5.44140625" style="138" customWidth="1"/>
    <col min="11778" max="11778" width="40.77734375" style="138" customWidth="1"/>
    <col min="11779" max="11779" width="9.77734375" style="138" customWidth="1"/>
    <col min="11780" max="11780" width="13" style="138" customWidth="1"/>
    <col min="11781" max="11781" width="13.109375" style="138" customWidth="1"/>
    <col min="11782" max="11782" width="12.33203125" style="138" customWidth="1"/>
    <col min="11783" max="11783" width="11.33203125" style="138" customWidth="1"/>
    <col min="11784" max="11784" width="11.77734375" style="138" customWidth="1"/>
    <col min="11785" max="11785" width="10.77734375" style="138" customWidth="1"/>
    <col min="11786" max="11786" width="13.109375" style="138" customWidth="1"/>
    <col min="11787" max="11787" width="11.44140625" style="138" customWidth="1"/>
    <col min="11788" max="11789" width="12.33203125" style="138" customWidth="1"/>
    <col min="11790" max="11790" width="13.109375" style="138" customWidth="1"/>
    <col min="11791" max="11791" width="18.44140625" style="138" customWidth="1"/>
    <col min="11792" max="11792" width="7.33203125" style="138" customWidth="1"/>
    <col min="11793" max="12031" width="8.77734375" style="138"/>
    <col min="12032" max="12032" width="5.33203125" style="138" customWidth="1"/>
    <col min="12033" max="12033" width="5.44140625" style="138" customWidth="1"/>
    <col min="12034" max="12034" width="40.77734375" style="138" customWidth="1"/>
    <col min="12035" max="12035" width="9.77734375" style="138" customWidth="1"/>
    <col min="12036" max="12036" width="13" style="138" customWidth="1"/>
    <col min="12037" max="12037" width="13.109375" style="138" customWidth="1"/>
    <col min="12038" max="12038" width="12.33203125" style="138" customWidth="1"/>
    <col min="12039" max="12039" width="11.33203125" style="138" customWidth="1"/>
    <col min="12040" max="12040" width="11.77734375" style="138" customWidth="1"/>
    <col min="12041" max="12041" width="10.77734375" style="138" customWidth="1"/>
    <col min="12042" max="12042" width="13.109375" style="138" customWidth="1"/>
    <col min="12043" max="12043" width="11.44140625" style="138" customWidth="1"/>
    <col min="12044" max="12045" width="12.33203125" style="138" customWidth="1"/>
    <col min="12046" max="12046" width="13.109375" style="138" customWidth="1"/>
    <col min="12047" max="12047" width="18.44140625" style="138" customWidth="1"/>
    <col min="12048" max="12048" width="7.33203125" style="138" customWidth="1"/>
    <col min="12049" max="12287" width="8.77734375" style="138"/>
    <col min="12288" max="12288" width="5.33203125" style="138" customWidth="1"/>
    <col min="12289" max="12289" width="5.44140625" style="138" customWidth="1"/>
    <col min="12290" max="12290" width="40.77734375" style="138" customWidth="1"/>
    <col min="12291" max="12291" width="9.77734375" style="138" customWidth="1"/>
    <col min="12292" max="12292" width="13" style="138" customWidth="1"/>
    <col min="12293" max="12293" width="13.109375" style="138" customWidth="1"/>
    <col min="12294" max="12294" width="12.33203125" style="138" customWidth="1"/>
    <col min="12295" max="12295" width="11.33203125" style="138" customWidth="1"/>
    <col min="12296" max="12296" width="11.77734375" style="138" customWidth="1"/>
    <col min="12297" max="12297" width="10.77734375" style="138" customWidth="1"/>
    <col min="12298" max="12298" width="13.109375" style="138" customWidth="1"/>
    <col min="12299" max="12299" width="11.44140625" style="138" customWidth="1"/>
    <col min="12300" max="12301" width="12.33203125" style="138" customWidth="1"/>
    <col min="12302" max="12302" width="13.109375" style="138" customWidth="1"/>
    <col min="12303" max="12303" width="18.44140625" style="138" customWidth="1"/>
    <col min="12304" max="12304" width="7.33203125" style="138" customWidth="1"/>
    <col min="12305" max="12543" width="8.77734375" style="138"/>
    <col min="12544" max="12544" width="5.33203125" style="138" customWidth="1"/>
    <col min="12545" max="12545" width="5.44140625" style="138" customWidth="1"/>
    <col min="12546" max="12546" width="40.77734375" style="138" customWidth="1"/>
    <col min="12547" max="12547" width="9.77734375" style="138" customWidth="1"/>
    <col min="12548" max="12548" width="13" style="138" customWidth="1"/>
    <col min="12549" max="12549" width="13.109375" style="138" customWidth="1"/>
    <col min="12550" max="12550" width="12.33203125" style="138" customWidth="1"/>
    <col min="12551" max="12551" width="11.33203125" style="138" customWidth="1"/>
    <col min="12552" max="12552" width="11.77734375" style="138" customWidth="1"/>
    <col min="12553" max="12553" width="10.77734375" style="138" customWidth="1"/>
    <col min="12554" max="12554" width="13.109375" style="138" customWidth="1"/>
    <col min="12555" max="12555" width="11.44140625" style="138" customWidth="1"/>
    <col min="12556" max="12557" width="12.33203125" style="138" customWidth="1"/>
    <col min="12558" max="12558" width="13.109375" style="138" customWidth="1"/>
    <col min="12559" max="12559" width="18.44140625" style="138" customWidth="1"/>
    <col min="12560" max="12560" width="7.33203125" style="138" customWidth="1"/>
    <col min="12561" max="12799" width="8.77734375" style="138"/>
    <col min="12800" max="12800" width="5.33203125" style="138" customWidth="1"/>
    <col min="12801" max="12801" width="5.44140625" style="138" customWidth="1"/>
    <col min="12802" max="12802" width="40.77734375" style="138" customWidth="1"/>
    <col min="12803" max="12803" width="9.77734375" style="138" customWidth="1"/>
    <col min="12804" max="12804" width="13" style="138" customWidth="1"/>
    <col min="12805" max="12805" width="13.109375" style="138" customWidth="1"/>
    <col min="12806" max="12806" width="12.33203125" style="138" customWidth="1"/>
    <col min="12807" max="12807" width="11.33203125" style="138" customWidth="1"/>
    <col min="12808" max="12808" width="11.77734375" style="138" customWidth="1"/>
    <col min="12809" max="12809" width="10.77734375" style="138" customWidth="1"/>
    <col min="12810" max="12810" width="13.109375" style="138" customWidth="1"/>
    <col min="12811" max="12811" width="11.44140625" style="138" customWidth="1"/>
    <col min="12812" max="12813" width="12.33203125" style="138" customWidth="1"/>
    <col min="12814" max="12814" width="13.109375" style="138" customWidth="1"/>
    <col min="12815" max="12815" width="18.44140625" style="138" customWidth="1"/>
    <col min="12816" max="12816" width="7.33203125" style="138" customWidth="1"/>
    <col min="12817" max="13055" width="8.77734375" style="138"/>
    <col min="13056" max="13056" width="5.33203125" style="138" customWidth="1"/>
    <col min="13057" max="13057" width="5.44140625" style="138" customWidth="1"/>
    <col min="13058" max="13058" width="40.77734375" style="138" customWidth="1"/>
    <col min="13059" max="13059" width="9.77734375" style="138" customWidth="1"/>
    <col min="13060" max="13060" width="13" style="138" customWidth="1"/>
    <col min="13061" max="13061" width="13.109375" style="138" customWidth="1"/>
    <col min="13062" max="13062" width="12.33203125" style="138" customWidth="1"/>
    <col min="13063" max="13063" width="11.33203125" style="138" customWidth="1"/>
    <col min="13064" max="13064" width="11.77734375" style="138" customWidth="1"/>
    <col min="13065" max="13065" width="10.77734375" style="138" customWidth="1"/>
    <col min="13066" max="13066" width="13.109375" style="138" customWidth="1"/>
    <col min="13067" max="13067" width="11.44140625" style="138" customWidth="1"/>
    <col min="13068" max="13069" width="12.33203125" style="138" customWidth="1"/>
    <col min="13070" max="13070" width="13.109375" style="138" customWidth="1"/>
    <col min="13071" max="13071" width="18.44140625" style="138" customWidth="1"/>
    <col min="13072" max="13072" width="7.33203125" style="138" customWidth="1"/>
    <col min="13073" max="13311" width="8.77734375" style="138"/>
    <col min="13312" max="13312" width="5.33203125" style="138" customWidth="1"/>
    <col min="13313" max="13313" width="5.44140625" style="138" customWidth="1"/>
    <col min="13314" max="13314" width="40.77734375" style="138" customWidth="1"/>
    <col min="13315" max="13315" width="9.77734375" style="138" customWidth="1"/>
    <col min="13316" max="13316" width="13" style="138" customWidth="1"/>
    <col min="13317" max="13317" width="13.109375" style="138" customWidth="1"/>
    <col min="13318" max="13318" width="12.33203125" style="138" customWidth="1"/>
    <col min="13319" max="13319" width="11.33203125" style="138" customWidth="1"/>
    <col min="13320" max="13320" width="11.77734375" style="138" customWidth="1"/>
    <col min="13321" max="13321" width="10.77734375" style="138" customWidth="1"/>
    <col min="13322" max="13322" width="13.109375" style="138" customWidth="1"/>
    <col min="13323" max="13323" width="11.44140625" style="138" customWidth="1"/>
    <col min="13324" max="13325" width="12.33203125" style="138" customWidth="1"/>
    <col min="13326" max="13326" width="13.109375" style="138" customWidth="1"/>
    <col min="13327" max="13327" width="18.44140625" style="138" customWidth="1"/>
    <col min="13328" max="13328" width="7.33203125" style="138" customWidth="1"/>
    <col min="13329" max="13567" width="8.77734375" style="138"/>
    <col min="13568" max="13568" width="5.33203125" style="138" customWidth="1"/>
    <col min="13569" max="13569" width="5.44140625" style="138" customWidth="1"/>
    <col min="13570" max="13570" width="40.77734375" style="138" customWidth="1"/>
    <col min="13571" max="13571" width="9.77734375" style="138" customWidth="1"/>
    <col min="13572" max="13572" width="13" style="138" customWidth="1"/>
    <col min="13573" max="13573" width="13.109375" style="138" customWidth="1"/>
    <col min="13574" max="13574" width="12.33203125" style="138" customWidth="1"/>
    <col min="13575" max="13575" width="11.33203125" style="138" customWidth="1"/>
    <col min="13576" max="13576" width="11.77734375" style="138" customWidth="1"/>
    <col min="13577" max="13577" width="10.77734375" style="138" customWidth="1"/>
    <col min="13578" max="13578" width="13.109375" style="138" customWidth="1"/>
    <col min="13579" max="13579" width="11.44140625" style="138" customWidth="1"/>
    <col min="13580" max="13581" width="12.33203125" style="138" customWidth="1"/>
    <col min="13582" max="13582" width="13.109375" style="138" customWidth="1"/>
    <col min="13583" max="13583" width="18.44140625" style="138" customWidth="1"/>
    <col min="13584" max="13584" width="7.33203125" style="138" customWidth="1"/>
    <col min="13585" max="13823" width="8.77734375" style="138"/>
    <col min="13824" max="13824" width="5.33203125" style="138" customWidth="1"/>
    <col min="13825" max="13825" width="5.44140625" style="138" customWidth="1"/>
    <col min="13826" max="13826" width="40.77734375" style="138" customWidth="1"/>
    <col min="13827" max="13827" width="9.77734375" style="138" customWidth="1"/>
    <col min="13828" max="13828" width="13" style="138" customWidth="1"/>
    <col min="13829" max="13829" width="13.109375" style="138" customWidth="1"/>
    <col min="13830" max="13830" width="12.33203125" style="138" customWidth="1"/>
    <col min="13831" max="13831" width="11.33203125" style="138" customWidth="1"/>
    <col min="13832" max="13832" width="11.77734375" style="138" customWidth="1"/>
    <col min="13833" max="13833" width="10.77734375" style="138" customWidth="1"/>
    <col min="13834" max="13834" width="13.109375" style="138" customWidth="1"/>
    <col min="13835" max="13835" width="11.44140625" style="138" customWidth="1"/>
    <col min="13836" max="13837" width="12.33203125" style="138" customWidth="1"/>
    <col min="13838" max="13838" width="13.109375" style="138" customWidth="1"/>
    <col min="13839" max="13839" width="18.44140625" style="138" customWidth="1"/>
    <col min="13840" max="13840" width="7.33203125" style="138" customWidth="1"/>
    <col min="13841" max="14079" width="8.77734375" style="138"/>
    <col min="14080" max="14080" width="5.33203125" style="138" customWidth="1"/>
    <col min="14081" max="14081" width="5.44140625" style="138" customWidth="1"/>
    <col min="14082" max="14082" width="40.77734375" style="138" customWidth="1"/>
    <col min="14083" max="14083" width="9.77734375" style="138" customWidth="1"/>
    <col min="14084" max="14084" width="13" style="138" customWidth="1"/>
    <col min="14085" max="14085" width="13.109375" style="138" customWidth="1"/>
    <col min="14086" max="14086" width="12.33203125" style="138" customWidth="1"/>
    <col min="14087" max="14087" width="11.33203125" style="138" customWidth="1"/>
    <col min="14088" max="14088" width="11.77734375" style="138" customWidth="1"/>
    <col min="14089" max="14089" width="10.77734375" style="138" customWidth="1"/>
    <col min="14090" max="14090" width="13.109375" style="138" customWidth="1"/>
    <col min="14091" max="14091" width="11.44140625" style="138" customWidth="1"/>
    <col min="14092" max="14093" width="12.33203125" style="138" customWidth="1"/>
    <col min="14094" max="14094" width="13.109375" style="138" customWidth="1"/>
    <col min="14095" max="14095" width="18.44140625" style="138" customWidth="1"/>
    <col min="14096" max="14096" width="7.33203125" style="138" customWidth="1"/>
    <col min="14097" max="14335" width="8.77734375" style="138"/>
    <col min="14336" max="14336" width="5.33203125" style="138" customWidth="1"/>
    <col min="14337" max="14337" width="5.44140625" style="138" customWidth="1"/>
    <col min="14338" max="14338" width="40.77734375" style="138" customWidth="1"/>
    <col min="14339" max="14339" width="9.77734375" style="138" customWidth="1"/>
    <col min="14340" max="14340" width="13" style="138" customWidth="1"/>
    <col min="14341" max="14341" width="13.109375" style="138" customWidth="1"/>
    <col min="14342" max="14342" width="12.33203125" style="138" customWidth="1"/>
    <col min="14343" max="14343" width="11.33203125" style="138" customWidth="1"/>
    <col min="14344" max="14344" width="11.77734375" style="138" customWidth="1"/>
    <col min="14345" max="14345" width="10.77734375" style="138" customWidth="1"/>
    <col min="14346" max="14346" width="13.109375" style="138" customWidth="1"/>
    <col min="14347" max="14347" width="11.44140625" style="138" customWidth="1"/>
    <col min="14348" max="14349" width="12.33203125" style="138" customWidth="1"/>
    <col min="14350" max="14350" width="13.109375" style="138" customWidth="1"/>
    <col min="14351" max="14351" width="18.44140625" style="138" customWidth="1"/>
    <col min="14352" max="14352" width="7.33203125" style="138" customWidth="1"/>
    <col min="14353" max="14591" width="8.77734375" style="138"/>
    <col min="14592" max="14592" width="5.33203125" style="138" customWidth="1"/>
    <col min="14593" max="14593" width="5.44140625" style="138" customWidth="1"/>
    <col min="14594" max="14594" width="40.77734375" style="138" customWidth="1"/>
    <col min="14595" max="14595" width="9.77734375" style="138" customWidth="1"/>
    <col min="14596" max="14596" width="13" style="138" customWidth="1"/>
    <col min="14597" max="14597" width="13.109375" style="138" customWidth="1"/>
    <col min="14598" max="14598" width="12.33203125" style="138" customWidth="1"/>
    <col min="14599" max="14599" width="11.33203125" style="138" customWidth="1"/>
    <col min="14600" max="14600" width="11.77734375" style="138" customWidth="1"/>
    <col min="14601" max="14601" width="10.77734375" style="138" customWidth="1"/>
    <col min="14602" max="14602" width="13.109375" style="138" customWidth="1"/>
    <col min="14603" max="14603" width="11.44140625" style="138" customWidth="1"/>
    <col min="14604" max="14605" width="12.33203125" style="138" customWidth="1"/>
    <col min="14606" max="14606" width="13.109375" style="138" customWidth="1"/>
    <col min="14607" max="14607" width="18.44140625" style="138" customWidth="1"/>
    <col min="14608" max="14608" width="7.33203125" style="138" customWidth="1"/>
    <col min="14609" max="14847" width="8.77734375" style="138"/>
    <col min="14848" max="14848" width="5.33203125" style="138" customWidth="1"/>
    <col min="14849" max="14849" width="5.44140625" style="138" customWidth="1"/>
    <col min="14850" max="14850" width="40.77734375" style="138" customWidth="1"/>
    <col min="14851" max="14851" width="9.77734375" style="138" customWidth="1"/>
    <col min="14852" max="14852" width="13" style="138" customWidth="1"/>
    <col min="14853" max="14853" width="13.109375" style="138" customWidth="1"/>
    <col min="14854" max="14854" width="12.33203125" style="138" customWidth="1"/>
    <col min="14855" max="14855" width="11.33203125" style="138" customWidth="1"/>
    <col min="14856" max="14856" width="11.77734375" style="138" customWidth="1"/>
    <col min="14857" max="14857" width="10.77734375" style="138" customWidth="1"/>
    <col min="14858" max="14858" width="13.109375" style="138" customWidth="1"/>
    <col min="14859" max="14859" width="11.44140625" style="138" customWidth="1"/>
    <col min="14860" max="14861" width="12.33203125" style="138" customWidth="1"/>
    <col min="14862" max="14862" width="13.109375" style="138" customWidth="1"/>
    <col min="14863" max="14863" width="18.44140625" style="138" customWidth="1"/>
    <col min="14864" max="14864" width="7.33203125" style="138" customWidth="1"/>
    <col min="14865" max="15103" width="8.77734375" style="138"/>
    <col min="15104" max="15104" width="5.33203125" style="138" customWidth="1"/>
    <col min="15105" max="15105" width="5.44140625" style="138" customWidth="1"/>
    <col min="15106" max="15106" width="40.77734375" style="138" customWidth="1"/>
    <col min="15107" max="15107" width="9.77734375" style="138" customWidth="1"/>
    <col min="15108" max="15108" width="13" style="138" customWidth="1"/>
    <col min="15109" max="15109" width="13.109375" style="138" customWidth="1"/>
    <col min="15110" max="15110" width="12.33203125" style="138" customWidth="1"/>
    <col min="15111" max="15111" width="11.33203125" style="138" customWidth="1"/>
    <col min="15112" max="15112" width="11.77734375" style="138" customWidth="1"/>
    <col min="15113" max="15113" width="10.77734375" style="138" customWidth="1"/>
    <col min="15114" max="15114" width="13.109375" style="138" customWidth="1"/>
    <col min="15115" max="15115" width="11.44140625" style="138" customWidth="1"/>
    <col min="15116" max="15117" width="12.33203125" style="138" customWidth="1"/>
    <col min="15118" max="15118" width="13.109375" style="138" customWidth="1"/>
    <col min="15119" max="15119" width="18.44140625" style="138" customWidth="1"/>
    <col min="15120" max="15120" width="7.33203125" style="138" customWidth="1"/>
    <col min="15121" max="15359" width="8.77734375" style="138"/>
    <col min="15360" max="15360" width="5.33203125" style="138" customWidth="1"/>
    <col min="15361" max="15361" width="5.44140625" style="138" customWidth="1"/>
    <col min="15362" max="15362" width="40.77734375" style="138" customWidth="1"/>
    <col min="15363" max="15363" width="9.77734375" style="138" customWidth="1"/>
    <col min="15364" max="15364" width="13" style="138" customWidth="1"/>
    <col min="15365" max="15365" width="13.109375" style="138" customWidth="1"/>
    <col min="15366" max="15366" width="12.33203125" style="138" customWidth="1"/>
    <col min="15367" max="15367" width="11.33203125" style="138" customWidth="1"/>
    <col min="15368" max="15368" width="11.77734375" style="138" customWidth="1"/>
    <col min="15369" max="15369" width="10.77734375" style="138" customWidth="1"/>
    <col min="15370" max="15370" width="13.109375" style="138" customWidth="1"/>
    <col min="15371" max="15371" width="11.44140625" style="138" customWidth="1"/>
    <col min="15372" max="15373" width="12.33203125" style="138" customWidth="1"/>
    <col min="15374" max="15374" width="13.109375" style="138" customWidth="1"/>
    <col min="15375" max="15375" width="18.44140625" style="138" customWidth="1"/>
    <col min="15376" max="15376" width="7.33203125" style="138" customWidth="1"/>
    <col min="15377" max="15615" width="8.77734375" style="138"/>
    <col min="15616" max="15616" width="5.33203125" style="138" customWidth="1"/>
    <col min="15617" max="15617" width="5.44140625" style="138" customWidth="1"/>
    <col min="15618" max="15618" width="40.77734375" style="138" customWidth="1"/>
    <col min="15619" max="15619" width="9.77734375" style="138" customWidth="1"/>
    <col min="15620" max="15620" width="13" style="138" customWidth="1"/>
    <col min="15621" max="15621" width="13.109375" style="138" customWidth="1"/>
    <col min="15622" max="15622" width="12.33203125" style="138" customWidth="1"/>
    <col min="15623" max="15623" width="11.33203125" style="138" customWidth="1"/>
    <col min="15624" max="15624" width="11.77734375" style="138" customWidth="1"/>
    <col min="15625" max="15625" width="10.77734375" style="138" customWidth="1"/>
    <col min="15626" max="15626" width="13.109375" style="138" customWidth="1"/>
    <col min="15627" max="15627" width="11.44140625" style="138" customWidth="1"/>
    <col min="15628" max="15629" width="12.33203125" style="138" customWidth="1"/>
    <col min="15630" max="15630" width="13.109375" style="138" customWidth="1"/>
    <col min="15631" max="15631" width="18.44140625" style="138" customWidth="1"/>
    <col min="15632" max="15632" width="7.33203125" style="138" customWidth="1"/>
    <col min="15633" max="15871" width="8.77734375" style="138"/>
    <col min="15872" max="15872" width="5.33203125" style="138" customWidth="1"/>
    <col min="15873" max="15873" width="5.44140625" style="138" customWidth="1"/>
    <col min="15874" max="15874" width="40.77734375" style="138" customWidth="1"/>
    <col min="15875" max="15875" width="9.77734375" style="138" customWidth="1"/>
    <col min="15876" max="15876" width="13" style="138" customWidth="1"/>
    <col min="15877" max="15877" width="13.109375" style="138" customWidth="1"/>
    <col min="15878" max="15878" width="12.33203125" style="138" customWidth="1"/>
    <col min="15879" max="15879" width="11.33203125" style="138" customWidth="1"/>
    <col min="15880" max="15880" width="11.77734375" style="138" customWidth="1"/>
    <col min="15881" max="15881" width="10.77734375" style="138" customWidth="1"/>
    <col min="15882" max="15882" width="13.109375" style="138" customWidth="1"/>
    <col min="15883" max="15883" width="11.44140625" style="138" customWidth="1"/>
    <col min="15884" max="15885" width="12.33203125" style="138" customWidth="1"/>
    <col min="15886" max="15886" width="13.109375" style="138" customWidth="1"/>
    <col min="15887" max="15887" width="18.44140625" style="138" customWidth="1"/>
    <col min="15888" max="15888" width="7.33203125" style="138" customWidth="1"/>
    <col min="15889" max="16127" width="8.77734375" style="138"/>
    <col min="16128" max="16128" width="5.33203125" style="138" customWidth="1"/>
    <col min="16129" max="16129" width="5.44140625" style="138" customWidth="1"/>
    <col min="16130" max="16130" width="40.77734375" style="138" customWidth="1"/>
    <col min="16131" max="16131" width="9.77734375" style="138" customWidth="1"/>
    <col min="16132" max="16132" width="13" style="138" customWidth="1"/>
    <col min="16133" max="16133" width="13.109375" style="138" customWidth="1"/>
    <col min="16134" max="16134" width="12.33203125" style="138" customWidth="1"/>
    <col min="16135" max="16135" width="11.33203125" style="138" customWidth="1"/>
    <col min="16136" max="16136" width="11.77734375" style="138" customWidth="1"/>
    <col min="16137" max="16137" width="10.77734375" style="138" customWidth="1"/>
    <col min="16138" max="16138" width="13.109375" style="138" customWidth="1"/>
    <col min="16139" max="16139" width="11.44140625" style="138" customWidth="1"/>
    <col min="16140" max="16141" width="12.33203125" style="138" customWidth="1"/>
    <col min="16142" max="16142" width="13.109375" style="138" customWidth="1"/>
    <col min="16143" max="16143" width="18.44140625" style="138" customWidth="1"/>
    <col min="16144" max="16144" width="7.33203125" style="138" customWidth="1"/>
    <col min="16145" max="16384" width="8.77734375" style="138"/>
  </cols>
  <sheetData>
    <row r="1" spans="1:15" ht="13.8" x14ac:dyDescent="0.3">
      <c r="A1" s="839" t="s">
        <v>89</v>
      </c>
      <c r="B1" s="839" t="s">
        <v>90</v>
      </c>
      <c r="C1" s="837" t="s">
        <v>128</v>
      </c>
      <c r="D1" s="839" t="s">
        <v>215</v>
      </c>
      <c r="E1" s="841" t="s">
        <v>135</v>
      </c>
      <c r="F1" s="841"/>
      <c r="G1" s="841"/>
      <c r="H1" s="841"/>
      <c r="I1" s="841"/>
      <c r="J1" s="841"/>
      <c r="K1" s="841"/>
      <c r="L1" s="838" t="s">
        <v>197</v>
      </c>
      <c r="M1" s="838"/>
      <c r="N1" s="838"/>
      <c r="O1" s="837" t="s">
        <v>13</v>
      </c>
    </row>
    <row r="2" spans="1:15" s="141" customFormat="1" ht="69" customHeight="1" x14ac:dyDescent="0.25">
      <c r="A2" s="839"/>
      <c r="B2" s="839"/>
      <c r="C2" s="837"/>
      <c r="D2" s="840"/>
      <c r="E2" s="139" t="s">
        <v>14</v>
      </c>
      <c r="F2" s="139" t="s">
        <v>15</v>
      </c>
      <c r="G2" s="463" t="s">
        <v>16</v>
      </c>
      <c r="H2" s="140" t="s">
        <v>193</v>
      </c>
      <c r="I2" s="463" t="s">
        <v>194</v>
      </c>
      <c r="J2" s="463" t="s">
        <v>195</v>
      </c>
      <c r="K2" s="463" t="s">
        <v>196</v>
      </c>
      <c r="L2" s="463" t="s">
        <v>136</v>
      </c>
      <c r="M2" s="463" t="s">
        <v>137</v>
      </c>
      <c r="N2" s="463" t="s">
        <v>139</v>
      </c>
      <c r="O2" s="837"/>
    </row>
    <row r="3" spans="1:15" s="141" customFormat="1" ht="12.9" customHeight="1" x14ac:dyDescent="0.25">
      <c r="A3" s="142">
        <v>1</v>
      </c>
      <c r="B3" s="142"/>
      <c r="C3" s="289" t="s">
        <v>182</v>
      </c>
      <c r="D3" s="290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</row>
    <row r="4" spans="1:15" s="141" customFormat="1" ht="12.9" customHeight="1" x14ac:dyDescent="0.25">
      <c r="A4" s="143">
        <v>1</v>
      </c>
      <c r="B4" s="143">
        <v>1</v>
      </c>
      <c r="C4" s="292" t="s">
        <v>5</v>
      </c>
      <c r="D4" s="144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</row>
    <row r="5" spans="1:15" s="146" customFormat="1" ht="13.5" customHeight="1" x14ac:dyDescent="0.25">
      <c r="A5" s="145">
        <v>1</v>
      </c>
      <c r="B5" s="145">
        <v>12</v>
      </c>
      <c r="C5" s="294" t="s">
        <v>101</v>
      </c>
      <c r="D5" s="295"/>
      <c r="E5" s="296"/>
      <c r="F5" s="296"/>
      <c r="G5" s="297"/>
      <c r="H5" s="297"/>
      <c r="I5" s="297"/>
      <c r="J5" s="297"/>
      <c r="K5" s="297"/>
      <c r="L5" s="297"/>
      <c r="M5" s="297"/>
      <c r="N5" s="297"/>
      <c r="O5" s="297"/>
    </row>
    <row r="6" spans="1:15" s="146" customFormat="1" ht="24.9" customHeight="1" x14ac:dyDescent="0.25">
      <c r="A6" s="145"/>
      <c r="B6" s="145"/>
      <c r="C6" s="298" t="s">
        <v>216</v>
      </c>
      <c r="D6" s="299"/>
      <c r="E6" s="296"/>
      <c r="F6" s="296"/>
      <c r="G6" s="297"/>
      <c r="H6" s="297"/>
      <c r="I6" s="297"/>
      <c r="J6" s="297"/>
      <c r="K6" s="297"/>
      <c r="L6" s="297"/>
      <c r="M6" s="297"/>
      <c r="N6" s="297"/>
      <c r="O6" s="297"/>
    </row>
    <row r="7" spans="1:15" s="146" customFormat="1" ht="17.100000000000001" customHeight="1" x14ac:dyDescent="0.25">
      <c r="A7" s="143"/>
      <c r="B7" s="143"/>
      <c r="C7" s="300" t="s">
        <v>217</v>
      </c>
      <c r="D7" s="301" t="s">
        <v>218</v>
      </c>
      <c r="E7" s="297"/>
      <c r="F7" s="297"/>
      <c r="G7" s="297"/>
      <c r="H7" s="297">
        <f>9906+táj1!H7</f>
        <v>9906</v>
      </c>
      <c r="I7" s="297"/>
      <c r="J7" s="297"/>
      <c r="K7" s="297"/>
      <c r="L7" s="297"/>
      <c r="M7" s="297"/>
      <c r="N7" s="297"/>
      <c r="O7" s="297">
        <f>SUM(H7:N7)</f>
        <v>9906</v>
      </c>
    </row>
    <row r="8" spans="1:15" s="146" customFormat="1" ht="13.5" customHeight="1" x14ac:dyDescent="0.25">
      <c r="A8" s="147"/>
      <c r="B8" s="147"/>
      <c r="C8" s="302" t="s">
        <v>219</v>
      </c>
      <c r="D8" s="303"/>
      <c r="E8" s="303">
        <f t="shared" ref="E8:K8" si="0">SUM(E5:E7)</f>
        <v>0</v>
      </c>
      <c r="F8" s="303">
        <f t="shared" si="0"/>
        <v>0</v>
      </c>
      <c r="G8" s="303">
        <f t="shared" si="0"/>
        <v>0</v>
      </c>
      <c r="H8" s="303">
        <f t="shared" si="0"/>
        <v>9906</v>
      </c>
      <c r="I8" s="303">
        <f t="shared" si="0"/>
        <v>0</v>
      </c>
      <c r="J8" s="303">
        <f t="shared" si="0"/>
        <v>0</v>
      </c>
      <c r="K8" s="303">
        <f t="shared" si="0"/>
        <v>0</v>
      </c>
      <c r="L8" s="303"/>
      <c r="M8" s="303"/>
      <c r="N8" s="303">
        <f>SUM(N7:N7)</f>
        <v>0</v>
      </c>
      <c r="O8" s="303">
        <f>SUM(O7:O7)</f>
        <v>9906</v>
      </c>
    </row>
    <row r="9" spans="1:15" s="146" customFormat="1" ht="13.5" customHeight="1" x14ac:dyDescent="0.25">
      <c r="A9" s="144">
        <v>1</v>
      </c>
      <c r="B9" s="144">
        <v>13</v>
      </c>
      <c r="C9" s="294" t="s">
        <v>102</v>
      </c>
      <c r="D9" s="301"/>
      <c r="E9" s="148"/>
      <c r="F9" s="304"/>
      <c r="G9" s="304"/>
      <c r="H9" s="304"/>
      <c r="I9" s="304"/>
      <c r="J9" s="304"/>
      <c r="K9" s="304"/>
      <c r="L9" s="304"/>
      <c r="M9" s="304"/>
      <c r="N9" s="304"/>
      <c r="O9" s="304"/>
    </row>
    <row r="10" spans="1:15" s="146" customFormat="1" ht="13.5" customHeight="1" x14ac:dyDescent="0.25">
      <c r="A10" s="144"/>
      <c r="B10" s="144"/>
      <c r="C10" s="298" t="s">
        <v>220</v>
      </c>
      <c r="D10" s="301"/>
      <c r="E10" s="297"/>
      <c r="F10" s="297"/>
      <c r="G10" s="297"/>
      <c r="H10" s="297"/>
      <c r="I10" s="297"/>
      <c r="J10" s="297"/>
      <c r="K10" s="297"/>
      <c r="L10" s="297"/>
      <c r="M10" s="297"/>
      <c r="N10" s="297"/>
      <c r="O10" s="297"/>
    </row>
    <row r="11" spans="1:15" s="146" customFormat="1" ht="24.9" customHeight="1" x14ac:dyDescent="0.25">
      <c r="A11" s="144"/>
      <c r="B11" s="144"/>
      <c r="C11" s="298" t="s">
        <v>221</v>
      </c>
      <c r="D11" s="305">
        <v>131705</v>
      </c>
      <c r="E11" s="297">
        <f>47392+táj1!E11</f>
        <v>47392</v>
      </c>
      <c r="F11" s="464"/>
      <c r="G11" s="464"/>
      <c r="H11" s="464"/>
      <c r="I11" s="297"/>
      <c r="J11" s="297"/>
      <c r="K11" s="297"/>
      <c r="L11" s="297"/>
      <c r="M11" s="297"/>
      <c r="N11" s="297"/>
      <c r="O11" s="297">
        <f>SUM(E11:N11)</f>
        <v>47392</v>
      </c>
    </row>
    <row r="12" spans="1:15" s="146" customFormat="1" ht="24.9" customHeight="1" x14ac:dyDescent="0.25">
      <c r="A12" s="144"/>
      <c r="B12" s="144"/>
      <c r="C12" s="307" t="s">
        <v>222</v>
      </c>
      <c r="D12" s="301" t="s">
        <v>88</v>
      </c>
      <c r="E12" s="297"/>
      <c r="F12" s="297"/>
      <c r="G12" s="297"/>
      <c r="H12" s="297"/>
      <c r="I12" s="297"/>
      <c r="J12" s="297"/>
      <c r="K12" s="297"/>
      <c r="L12" s="297"/>
      <c r="M12" s="297"/>
      <c r="N12" s="297"/>
      <c r="O12" s="308"/>
    </row>
    <row r="13" spans="1:15" s="146" customFormat="1" ht="24.9" customHeight="1" x14ac:dyDescent="0.25">
      <c r="A13" s="144"/>
      <c r="B13" s="144"/>
      <c r="C13" s="307" t="s">
        <v>223</v>
      </c>
      <c r="D13" s="305">
        <v>131703</v>
      </c>
      <c r="E13" s="297"/>
      <c r="F13" s="297"/>
      <c r="G13" s="297"/>
      <c r="H13" s="297">
        <f>6007+táj1!H13</f>
        <v>6007</v>
      </c>
      <c r="I13" s="297"/>
      <c r="J13" s="297"/>
      <c r="K13" s="297"/>
      <c r="L13" s="297"/>
      <c r="M13" s="297"/>
      <c r="N13" s="297"/>
      <c r="O13" s="297">
        <f>SUM(E13:N13)</f>
        <v>6007</v>
      </c>
    </row>
    <row r="14" spans="1:15" s="146" customFormat="1" ht="24.9" customHeight="1" x14ac:dyDescent="0.25">
      <c r="A14" s="754"/>
      <c r="B14" s="754"/>
      <c r="C14" s="820" t="s">
        <v>225</v>
      </c>
      <c r="D14" s="821"/>
      <c r="E14" s="747"/>
      <c r="F14" s="747"/>
      <c r="G14" s="747"/>
      <c r="H14" s="747"/>
      <c r="I14" s="747"/>
      <c r="J14" s="747"/>
      <c r="K14" s="747"/>
      <c r="L14" s="747"/>
      <c r="M14" s="747"/>
      <c r="N14" s="747"/>
      <c r="O14" s="297">
        <f t="shared" ref="O14:O15" si="1">SUM(E14:N14)</f>
        <v>0</v>
      </c>
    </row>
    <row r="15" spans="1:15" s="146" customFormat="1" ht="24.9" customHeight="1" x14ac:dyDescent="0.25">
      <c r="A15" s="754"/>
      <c r="B15" s="754"/>
      <c r="C15" s="763" t="s">
        <v>1315</v>
      </c>
      <c r="D15" s="821">
        <v>132940</v>
      </c>
      <c r="E15" s="297"/>
      <c r="F15" s="297">
        <f>0+táj1!F15</f>
        <v>4000</v>
      </c>
      <c r="G15" s="747"/>
      <c r="H15" s="747"/>
      <c r="I15" s="747"/>
      <c r="J15" s="747"/>
      <c r="K15" s="747"/>
      <c r="L15" s="747"/>
      <c r="M15" s="747"/>
      <c r="N15" s="747"/>
      <c r="O15" s="297">
        <f t="shared" si="1"/>
        <v>4000</v>
      </c>
    </row>
    <row r="16" spans="1:15" s="146" customFormat="1" ht="25.5" customHeight="1" x14ac:dyDescent="0.25">
      <c r="A16" s="144"/>
      <c r="B16" s="144"/>
      <c r="C16" s="298" t="s">
        <v>870</v>
      </c>
      <c r="D16" s="305"/>
      <c r="E16" s="297"/>
      <c r="F16" s="464"/>
      <c r="G16" s="464"/>
      <c r="H16" s="464"/>
      <c r="I16" s="297"/>
      <c r="J16" s="297"/>
      <c r="K16" s="297"/>
      <c r="L16" s="297"/>
      <c r="M16" s="297"/>
      <c r="N16" s="297"/>
      <c r="O16" s="297"/>
    </row>
    <row r="17" spans="1:16" s="146" customFormat="1" ht="24.9" customHeight="1" x14ac:dyDescent="0.25">
      <c r="A17" s="144"/>
      <c r="B17" s="144"/>
      <c r="C17" s="309" t="s">
        <v>871</v>
      </c>
      <c r="D17" s="305">
        <v>131508</v>
      </c>
      <c r="E17" s="297">
        <f>288500+táj1!E17</f>
        <v>288500</v>
      </c>
      <c r="F17" s="464"/>
      <c r="G17" s="464"/>
      <c r="H17" s="464"/>
      <c r="I17" s="297"/>
      <c r="J17" s="297"/>
      <c r="K17" s="297"/>
      <c r="L17" s="297"/>
      <c r="M17" s="297"/>
      <c r="N17" s="297"/>
      <c r="O17" s="297">
        <f t="shared" ref="O17:O18" si="2">SUM(E17:N17)</f>
        <v>288500</v>
      </c>
    </row>
    <row r="18" spans="1:16" s="146" customFormat="1" ht="24.75" customHeight="1" x14ac:dyDescent="0.25">
      <c r="A18" s="144"/>
      <c r="B18" s="144"/>
      <c r="C18" s="309" t="s">
        <v>872</v>
      </c>
      <c r="D18" s="305">
        <v>131509</v>
      </c>
      <c r="E18" s="297">
        <f>65000+táj1!E18</f>
        <v>65000</v>
      </c>
      <c r="F18" s="464"/>
      <c r="G18" s="464"/>
      <c r="H18" s="464"/>
      <c r="I18" s="297"/>
      <c r="J18" s="297"/>
      <c r="K18" s="297"/>
      <c r="L18" s="297"/>
      <c r="M18" s="297"/>
      <c r="N18" s="297"/>
      <c r="O18" s="297">
        <f t="shared" si="2"/>
        <v>65000</v>
      </c>
    </row>
    <row r="19" spans="1:16" s="146" customFormat="1" ht="13.5" customHeight="1" x14ac:dyDescent="0.25">
      <c r="A19" s="147"/>
      <c r="B19" s="147"/>
      <c r="C19" s="302" t="s">
        <v>224</v>
      </c>
      <c r="D19" s="310"/>
      <c r="E19" s="303">
        <f t="shared" ref="E19:O19" si="3">SUM(E11:E18)</f>
        <v>400892</v>
      </c>
      <c r="F19" s="303">
        <f t="shared" si="3"/>
        <v>4000</v>
      </c>
      <c r="G19" s="303">
        <f t="shared" si="3"/>
        <v>0</v>
      </c>
      <c r="H19" s="303">
        <f t="shared" si="3"/>
        <v>6007</v>
      </c>
      <c r="I19" s="303">
        <f t="shared" si="3"/>
        <v>0</v>
      </c>
      <c r="J19" s="303">
        <f t="shared" si="3"/>
        <v>0</v>
      </c>
      <c r="K19" s="303">
        <f t="shared" si="3"/>
        <v>0</v>
      </c>
      <c r="L19" s="303">
        <f t="shared" si="3"/>
        <v>0</v>
      </c>
      <c r="M19" s="303">
        <f t="shared" si="3"/>
        <v>0</v>
      </c>
      <c r="N19" s="303">
        <f t="shared" si="3"/>
        <v>0</v>
      </c>
      <c r="O19" s="303">
        <f t="shared" si="3"/>
        <v>410899</v>
      </c>
    </row>
    <row r="20" spans="1:16" s="146" customFormat="1" ht="13.5" customHeight="1" x14ac:dyDescent="0.25">
      <c r="A20" s="311">
        <v>1</v>
      </c>
      <c r="B20" s="311">
        <v>14</v>
      </c>
      <c r="C20" s="312" t="s">
        <v>184</v>
      </c>
      <c r="D20" s="311"/>
      <c r="E20" s="304"/>
      <c r="F20" s="304"/>
      <c r="G20" s="304"/>
      <c r="H20" s="304"/>
      <c r="I20" s="304"/>
      <c r="J20" s="304"/>
      <c r="K20" s="304"/>
      <c r="L20" s="304"/>
      <c r="M20" s="304"/>
      <c r="N20" s="304"/>
      <c r="O20" s="304"/>
    </row>
    <row r="21" spans="1:16" s="146" customFormat="1" ht="25.2" customHeight="1" x14ac:dyDescent="0.25">
      <c r="A21" s="144"/>
      <c r="B21" s="144"/>
      <c r="C21" s="306" t="s">
        <v>225</v>
      </c>
      <c r="D21" s="311"/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</row>
    <row r="22" spans="1:16" s="146" customFormat="1" ht="19.5" customHeight="1" x14ac:dyDescent="0.25">
      <c r="A22" s="144"/>
      <c r="B22" s="144"/>
      <c r="C22" s="313" t="s">
        <v>226</v>
      </c>
      <c r="D22" s="145">
        <v>171967</v>
      </c>
      <c r="E22" s="297"/>
      <c r="F22" s="297"/>
      <c r="G22" s="297"/>
      <c r="H22" s="297">
        <f>5080+táj1!H22</f>
        <v>5292</v>
      </c>
      <c r="I22" s="297"/>
      <c r="J22" s="297"/>
      <c r="K22" s="297"/>
      <c r="L22" s="297"/>
      <c r="M22" s="297"/>
      <c r="N22" s="297"/>
      <c r="O22" s="297">
        <f>SUM(E22:N22)</f>
        <v>5292</v>
      </c>
    </row>
    <row r="23" spans="1:16" s="146" customFormat="1" ht="15.75" customHeight="1" x14ac:dyDescent="0.25">
      <c r="A23" s="144"/>
      <c r="B23" s="144"/>
      <c r="C23" s="314" t="s">
        <v>873</v>
      </c>
      <c r="D23" s="315">
        <v>164903</v>
      </c>
      <c r="E23" s="275"/>
      <c r="F23" s="275"/>
      <c r="G23" s="275"/>
      <c r="H23" s="275"/>
      <c r="I23" s="275"/>
      <c r="J23" s="275"/>
      <c r="K23" s="275"/>
      <c r="L23" s="275"/>
      <c r="M23" s="527">
        <f>6151+táj1!M23</f>
        <v>6151</v>
      </c>
      <c r="N23" s="275"/>
      <c r="O23" s="275">
        <f>SUM(E23:N23)</f>
        <v>6151</v>
      </c>
      <c r="P23" s="602"/>
    </row>
    <row r="24" spans="1:16" s="146" customFormat="1" ht="13.5" customHeight="1" x14ac:dyDescent="0.25">
      <c r="A24" s="155"/>
      <c r="B24" s="155"/>
      <c r="C24" s="302" t="s">
        <v>227</v>
      </c>
      <c r="D24" s="465"/>
      <c r="E24" s="323"/>
      <c r="F24" s="323"/>
      <c r="G24" s="323"/>
      <c r="H24" s="323">
        <f>SUM(H22:H23)</f>
        <v>5292</v>
      </c>
      <c r="I24" s="323">
        <f t="shared" ref="I24:O24" si="4">SUM(I22:I23)</f>
        <v>0</v>
      </c>
      <c r="J24" s="323">
        <f t="shared" si="4"/>
        <v>0</v>
      </c>
      <c r="K24" s="323">
        <f t="shared" si="4"/>
        <v>0</v>
      </c>
      <c r="L24" s="323">
        <f t="shared" si="4"/>
        <v>0</v>
      </c>
      <c r="M24" s="323">
        <f t="shared" si="4"/>
        <v>6151</v>
      </c>
      <c r="N24" s="323">
        <f t="shared" si="4"/>
        <v>0</v>
      </c>
      <c r="O24" s="323">
        <f t="shared" si="4"/>
        <v>11443</v>
      </c>
    </row>
    <row r="25" spans="1:16" s="141" customFormat="1" ht="13.5" customHeight="1" x14ac:dyDescent="0.25">
      <c r="A25" s="149">
        <v>1</v>
      </c>
      <c r="B25" s="149">
        <v>15</v>
      </c>
      <c r="C25" s="292" t="s">
        <v>131</v>
      </c>
      <c r="D25" s="156"/>
      <c r="E25" s="275"/>
      <c r="F25" s="275"/>
      <c r="G25" s="275"/>
      <c r="H25" s="275"/>
      <c r="I25" s="275"/>
      <c r="J25" s="275"/>
      <c r="K25" s="275"/>
      <c r="L25" s="275"/>
      <c r="M25" s="275"/>
      <c r="N25" s="275"/>
      <c r="O25" s="275"/>
    </row>
    <row r="26" spans="1:16" s="141" customFormat="1" ht="24.9" customHeight="1" x14ac:dyDescent="0.25">
      <c r="A26" s="149"/>
      <c r="B26" s="149"/>
      <c r="C26" s="309" t="s">
        <v>228</v>
      </c>
      <c r="D26" s="325"/>
      <c r="E26" s="157"/>
      <c r="F26" s="275"/>
      <c r="G26" s="275"/>
      <c r="H26" s="275"/>
      <c r="I26" s="275"/>
      <c r="J26" s="275"/>
      <c r="K26" s="275"/>
      <c r="L26" s="275"/>
      <c r="M26" s="275"/>
      <c r="N26" s="275"/>
      <c r="O26" s="275"/>
    </row>
    <row r="27" spans="1:16" s="141" customFormat="1" ht="22.95" customHeight="1" x14ac:dyDescent="0.25">
      <c r="A27" s="149"/>
      <c r="B27" s="149"/>
      <c r="C27" s="313" t="s">
        <v>229</v>
      </c>
      <c r="D27" s="325">
        <v>151906</v>
      </c>
      <c r="E27" s="275"/>
      <c r="F27" s="275"/>
      <c r="G27" s="275"/>
      <c r="H27" s="275">
        <f>39277+táj1!H27</f>
        <v>39277</v>
      </c>
      <c r="I27" s="466"/>
      <c r="J27" s="466"/>
      <c r="K27" s="466"/>
      <c r="L27" s="466"/>
      <c r="M27" s="466"/>
      <c r="N27" s="275"/>
      <c r="O27" s="275">
        <f>SUM(E27:N27)</f>
        <v>39277</v>
      </c>
    </row>
    <row r="28" spans="1:16" s="141" customFormat="1" ht="15" customHeight="1" x14ac:dyDescent="0.25">
      <c r="A28" s="149"/>
      <c r="B28" s="149"/>
      <c r="C28" s="300" t="s">
        <v>230</v>
      </c>
      <c r="D28" s="467" t="s">
        <v>231</v>
      </c>
      <c r="E28" s="275"/>
      <c r="F28" s="275"/>
      <c r="G28" s="275"/>
      <c r="H28" s="275">
        <f>175260+táj1!H28</f>
        <v>175260</v>
      </c>
      <c r="I28" s="466"/>
      <c r="J28" s="466"/>
      <c r="K28" s="466"/>
      <c r="L28" s="466"/>
      <c r="M28" s="466"/>
      <c r="N28" s="275"/>
      <c r="O28" s="275">
        <f>SUM(E28:N28)</f>
        <v>175260</v>
      </c>
    </row>
    <row r="29" spans="1:16" s="141" customFormat="1" ht="15" customHeight="1" x14ac:dyDescent="0.25">
      <c r="A29" s="149"/>
      <c r="B29" s="149"/>
      <c r="C29" s="300" t="s">
        <v>232</v>
      </c>
      <c r="D29" s="467" t="s">
        <v>233</v>
      </c>
      <c r="E29" s="275"/>
      <c r="F29" s="275"/>
      <c r="G29" s="275"/>
      <c r="H29" s="275">
        <f>2667+táj1!H29</f>
        <v>2667</v>
      </c>
      <c r="I29" s="466"/>
      <c r="J29" s="466"/>
      <c r="K29" s="466"/>
      <c r="L29" s="466"/>
      <c r="M29" s="466"/>
      <c r="N29" s="275"/>
      <c r="O29" s="275">
        <f>SUM(E29:N29)</f>
        <v>2667</v>
      </c>
    </row>
    <row r="30" spans="1:16" s="141" customFormat="1" ht="15" customHeight="1" x14ac:dyDescent="0.25">
      <c r="A30" s="149"/>
      <c r="B30" s="149"/>
      <c r="C30" s="316" t="s">
        <v>234</v>
      </c>
      <c r="D30" s="468"/>
      <c r="E30" s="275"/>
      <c r="F30" s="275"/>
      <c r="G30" s="275"/>
      <c r="H30" s="275"/>
      <c r="I30" s="466"/>
      <c r="J30" s="466"/>
      <c r="K30" s="466"/>
      <c r="L30" s="466"/>
      <c r="M30" s="466"/>
      <c r="N30" s="275"/>
      <c r="O30" s="275"/>
    </row>
    <row r="31" spans="1:16" s="141" customFormat="1" ht="15" customHeight="1" x14ac:dyDescent="0.25">
      <c r="A31" s="149"/>
      <c r="B31" s="149"/>
      <c r="C31" s="300" t="s">
        <v>235</v>
      </c>
      <c r="D31" s="467" t="s">
        <v>236</v>
      </c>
      <c r="E31" s="275"/>
      <c r="F31" s="275"/>
      <c r="G31" s="275"/>
      <c r="H31" s="275">
        <f>3810+táj1!H31</f>
        <v>3810</v>
      </c>
      <c r="I31" s="466"/>
      <c r="J31" s="466"/>
      <c r="K31" s="466"/>
      <c r="L31" s="466"/>
      <c r="M31" s="466"/>
      <c r="N31" s="275"/>
      <c r="O31" s="275">
        <f>SUM(E31:N31)</f>
        <v>3810</v>
      </c>
    </row>
    <row r="32" spans="1:16" s="141" customFormat="1" ht="15" customHeight="1" x14ac:dyDescent="0.25">
      <c r="A32" s="149"/>
      <c r="B32" s="149"/>
      <c r="C32" s="469" t="s">
        <v>237</v>
      </c>
      <c r="D32" s="467" t="s">
        <v>238</v>
      </c>
      <c r="E32" s="275"/>
      <c r="F32" s="275"/>
      <c r="G32" s="275"/>
      <c r="H32" s="275">
        <f>1905+táj1!H32</f>
        <v>1905</v>
      </c>
      <c r="I32" s="466"/>
      <c r="J32" s="466"/>
      <c r="K32" s="466"/>
      <c r="L32" s="466"/>
      <c r="M32" s="466"/>
      <c r="N32" s="275"/>
      <c r="O32" s="275">
        <f>SUM(E32:N32)</f>
        <v>1905</v>
      </c>
    </row>
    <row r="33" spans="1:15" s="141" customFormat="1" ht="18" customHeight="1" x14ac:dyDescent="0.25">
      <c r="A33" s="149"/>
      <c r="B33" s="149"/>
      <c r="C33" s="559" t="s">
        <v>554</v>
      </c>
      <c r="D33" s="470" t="s">
        <v>874</v>
      </c>
      <c r="E33" s="275"/>
      <c r="F33" s="275"/>
      <c r="G33" s="275"/>
      <c r="H33" s="275"/>
      <c r="I33" s="466"/>
      <c r="J33" s="466"/>
      <c r="K33" s="466"/>
      <c r="L33" s="466"/>
      <c r="M33" s="527">
        <f>25742+táj1!M33</f>
        <v>25742</v>
      </c>
      <c r="N33" s="275"/>
      <c r="O33" s="275">
        <f t="shared" ref="O33" si="5">SUM(E33:N33)</f>
        <v>25742</v>
      </c>
    </row>
    <row r="34" spans="1:15" s="141" customFormat="1" ht="18.600000000000001" customHeight="1" x14ac:dyDescent="0.25">
      <c r="A34" s="149"/>
      <c r="B34" s="149"/>
      <c r="C34" s="313" t="s">
        <v>240</v>
      </c>
      <c r="D34" s="470"/>
      <c r="E34" s="275"/>
      <c r="F34" s="275"/>
      <c r="G34" s="275"/>
      <c r="H34" s="275"/>
      <c r="I34" s="466"/>
      <c r="J34" s="466"/>
      <c r="K34" s="466"/>
      <c r="L34" s="466"/>
      <c r="M34" s="466"/>
      <c r="N34" s="275"/>
      <c r="O34" s="275"/>
    </row>
    <row r="35" spans="1:15" s="141" customFormat="1" ht="24.9" customHeight="1" x14ac:dyDescent="0.25">
      <c r="A35" s="149"/>
      <c r="B35" s="149"/>
      <c r="C35" s="784" t="s">
        <v>241</v>
      </c>
      <c r="D35" s="785" t="s">
        <v>242</v>
      </c>
      <c r="E35" s="275"/>
      <c r="F35" s="275"/>
      <c r="G35" s="275"/>
      <c r="H35" s="275">
        <f>304800+táj1!H35</f>
        <v>304800</v>
      </c>
      <c r="I35" s="466"/>
      <c r="J35" s="466"/>
      <c r="K35" s="466"/>
      <c r="L35" s="466"/>
      <c r="M35" s="466"/>
      <c r="N35" s="275"/>
      <c r="O35" s="275">
        <f>SUM(E35:N35)</f>
        <v>304800</v>
      </c>
    </row>
    <row r="36" spans="1:15" s="141" customFormat="1" ht="16.2" customHeight="1" x14ac:dyDescent="0.25">
      <c r="A36" s="745"/>
      <c r="B36" s="782"/>
      <c r="C36" s="786" t="s">
        <v>517</v>
      </c>
      <c r="D36" s="786"/>
      <c r="E36" s="783"/>
      <c r="F36" s="747"/>
      <c r="G36" s="747"/>
      <c r="H36" s="275"/>
      <c r="I36" s="748"/>
      <c r="J36" s="748"/>
      <c r="K36" s="748"/>
      <c r="L36" s="748"/>
      <c r="M36" s="748"/>
      <c r="N36" s="747"/>
      <c r="O36" s="275"/>
    </row>
    <row r="37" spans="1:15" s="141" customFormat="1" ht="17.399999999999999" customHeight="1" x14ac:dyDescent="0.25">
      <c r="A37" s="745"/>
      <c r="B37" s="745"/>
      <c r="C37" s="798" t="s">
        <v>1290</v>
      </c>
      <c r="D37" s="799" t="s">
        <v>1291</v>
      </c>
      <c r="E37" s="747"/>
      <c r="F37" s="747"/>
      <c r="G37" s="747"/>
      <c r="H37" s="275"/>
      <c r="I37" s="275"/>
      <c r="J37" s="275"/>
      <c r="K37" s="275">
        <f>0+táj1!K37</f>
        <v>509</v>
      </c>
      <c r="L37" s="748"/>
      <c r="M37" s="748"/>
      <c r="N37" s="747"/>
      <c r="O37" s="275">
        <f t="shared" ref="O37" si="6">SUM(E37:N37)</f>
        <v>509</v>
      </c>
    </row>
    <row r="38" spans="1:15" s="141" customFormat="1" ht="12.9" customHeight="1" x14ac:dyDescent="0.25">
      <c r="A38" s="155"/>
      <c r="B38" s="155"/>
      <c r="C38" s="560" t="s">
        <v>243</v>
      </c>
      <c r="D38" s="155"/>
      <c r="E38" s="323">
        <f>SUM(E26:E37)</f>
        <v>0</v>
      </c>
      <c r="F38" s="323">
        <f t="shared" ref="F38:O38" si="7">SUM(F26:F37)</f>
        <v>0</v>
      </c>
      <c r="G38" s="323">
        <f t="shared" si="7"/>
        <v>0</v>
      </c>
      <c r="H38" s="323">
        <f t="shared" si="7"/>
        <v>527719</v>
      </c>
      <c r="I38" s="323">
        <f t="shared" si="7"/>
        <v>0</v>
      </c>
      <c r="J38" s="323">
        <f t="shared" si="7"/>
        <v>0</v>
      </c>
      <c r="K38" s="323">
        <f t="shared" si="7"/>
        <v>509</v>
      </c>
      <c r="L38" s="323">
        <f t="shared" si="7"/>
        <v>0</v>
      </c>
      <c r="M38" s="323">
        <f t="shared" si="7"/>
        <v>25742</v>
      </c>
      <c r="N38" s="323">
        <f t="shared" si="7"/>
        <v>0</v>
      </c>
      <c r="O38" s="323">
        <f t="shared" si="7"/>
        <v>553970</v>
      </c>
    </row>
    <row r="39" spans="1:15" s="141" customFormat="1" ht="12.9" customHeight="1" x14ac:dyDescent="0.25">
      <c r="A39" s="149">
        <v>1</v>
      </c>
      <c r="B39" s="149" t="s">
        <v>86</v>
      </c>
      <c r="C39" s="292" t="s">
        <v>120</v>
      </c>
      <c r="D39" s="156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</row>
    <row r="40" spans="1:15" s="141" customFormat="1" ht="27" customHeight="1" x14ac:dyDescent="0.25">
      <c r="A40" s="149"/>
      <c r="B40" s="149"/>
      <c r="C40" s="313" t="s">
        <v>244</v>
      </c>
      <c r="D40" s="325"/>
      <c r="E40" s="471"/>
      <c r="F40" s="275"/>
      <c r="G40" s="275"/>
      <c r="H40" s="275"/>
      <c r="I40" s="275"/>
      <c r="J40" s="275"/>
      <c r="K40" s="275"/>
      <c r="L40" s="275"/>
      <c r="M40" s="275"/>
      <c r="N40" s="275"/>
      <c r="O40" s="275"/>
    </row>
    <row r="41" spans="1:15" s="141" customFormat="1" ht="26.25" customHeight="1" x14ac:dyDescent="0.25">
      <c r="A41" s="149"/>
      <c r="B41" s="149"/>
      <c r="C41" s="298" t="s">
        <v>875</v>
      </c>
      <c r="D41" s="336">
        <v>161909</v>
      </c>
      <c r="E41" s="319"/>
      <c r="F41" s="319"/>
      <c r="G41" s="319"/>
      <c r="H41" s="319">
        <f>34590+táj1!H41</f>
        <v>34590</v>
      </c>
      <c r="I41" s="319"/>
      <c r="J41" s="319"/>
      <c r="K41" s="319"/>
      <c r="L41" s="319"/>
      <c r="M41" s="319"/>
      <c r="N41" s="319"/>
      <c r="O41" s="275">
        <f>SUM(E41:N41)</f>
        <v>34590</v>
      </c>
    </row>
    <row r="42" spans="1:15" s="141" customFormat="1" ht="23.25" customHeight="1" x14ac:dyDescent="0.25">
      <c r="A42" s="149"/>
      <c r="B42" s="149"/>
      <c r="C42" s="298" t="s">
        <v>859</v>
      </c>
      <c r="D42" s="336">
        <v>164106</v>
      </c>
      <c r="E42" s="319"/>
      <c r="F42" s="319"/>
      <c r="G42" s="319"/>
      <c r="H42" s="319">
        <f>523839+táj1!H42</f>
        <v>523839</v>
      </c>
      <c r="I42" s="319"/>
      <c r="J42" s="319"/>
      <c r="K42" s="319"/>
      <c r="L42" s="319"/>
      <c r="M42" s="319">
        <f>49165+táj1!M42</f>
        <v>49165</v>
      </c>
      <c r="N42" s="319"/>
      <c r="O42" s="275">
        <f>SUM(E42:N42)</f>
        <v>573004</v>
      </c>
    </row>
    <row r="43" spans="1:15" s="141" customFormat="1" ht="24" customHeight="1" x14ac:dyDescent="0.25">
      <c r="A43" s="149"/>
      <c r="B43" s="149"/>
      <c r="C43" s="298" t="s">
        <v>860</v>
      </c>
      <c r="D43" s="336">
        <v>164204</v>
      </c>
      <c r="E43" s="319"/>
      <c r="F43" s="319"/>
      <c r="G43" s="319"/>
      <c r="H43" s="319">
        <f>179306+táj1!H43</f>
        <v>179306</v>
      </c>
      <c r="I43" s="319"/>
      <c r="J43" s="319"/>
      <c r="K43" s="319"/>
      <c r="L43" s="319"/>
      <c r="M43" s="319">
        <f>28607+táj1!M43</f>
        <v>28607</v>
      </c>
      <c r="N43" s="319"/>
      <c r="O43" s="275">
        <f>SUM(E43:N43)</f>
        <v>207913</v>
      </c>
    </row>
    <row r="44" spans="1:15" s="141" customFormat="1" ht="36.75" customHeight="1" x14ac:dyDescent="0.25">
      <c r="A44" s="149"/>
      <c r="B44" s="149"/>
      <c r="C44" s="317" t="s">
        <v>245</v>
      </c>
      <c r="D44" s="336">
        <v>164205</v>
      </c>
      <c r="E44" s="319">
        <f>0+táj1!E44</f>
        <v>4455</v>
      </c>
      <c r="F44" s="319">
        <f>162723+táj1!F44</f>
        <v>158268</v>
      </c>
      <c r="G44" s="319"/>
      <c r="H44" s="319">
        <f>41964+táj1!H44</f>
        <v>41964</v>
      </c>
      <c r="I44" s="557"/>
      <c r="J44" s="557"/>
      <c r="K44" s="557"/>
      <c r="L44" s="557"/>
      <c r="M44" s="319">
        <f>79403+táj1!M44</f>
        <v>79403</v>
      </c>
      <c r="O44" s="275">
        <f>SUM(E44:N44)</f>
        <v>284090</v>
      </c>
    </row>
    <row r="45" spans="1:15" s="141" customFormat="1" ht="37.5" customHeight="1" x14ac:dyDescent="0.25">
      <c r="A45" s="149"/>
      <c r="B45" s="149"/>
      <c r="C45" s="317" t="s">
        <v>246</v>
      </c>
      <c r="D45" s="336">
        <v>164206</v>
      </c>
      <c r="E45" s="319">
        <f>635+táj1!E45</f>
        <v>635</v>
      </c>
      <c r="F45" s="319">
        <f>2181+táj1!F45</f>
        <v>2181</v>
      </c>
      <c r="G45" s="319"/>
      <c r="H45" s="319">
        <f>0+táj1!H45</f>
        <v>0</v>
      </c>
      <c r="I45" s="557"/>
      <c r="J45" s="557"/>
      <c r="K45" s="557"/>
      <c r="L45" s="557"/>
      <c r="M45" s="319">
        <f>135+táj1!M45</f>
        <v>135</v>
      </c>
      <c r="N45" s="319"/>
      <c r="O45" s="275">
        <f t="shared" ref="O45:O47" si="8">SUM(E45:N45)</f>
        <v>2951</v>
      </c>
    </row>
    <row r="46" spans="1:15" s="141" customFormat="1" ht="24" customHeight="1" x14ac:dyDescent="0.25">
      <c r="A46" s="521"/>
      <c r="B46" s="521"/>
      <c r="C46" s="561" t="s">
        <v>1115</v>
      </c>
      <c r="D46" s="564">
        <v>164109</v>
      </c>
      <c r="E46" s="530"/>
      <c r="F46" s="319">
        <f>63910+táj1!F46</f>
        <v>63910</v>
      </c>
      <c r="G46" s="530"/>
      <c r="H46" s="319">
        <f>24651+táj1!H46</f>
        <v>24651</v>
      </c>
      <c r="I46" s="535"/>
      <c r="J46" s="535"/>
      <c r="K46" s="535"/>
      <c r="L46" s="535"/>
      <c r="M46" s="535"/>
      <c r="N46" s="530"/>
      <c r="O46" s="275">
        <f t="shared" si="8"/>
        <v>88561</v>
      </c>
    </row>
    <row r="47" spans="1:15" s="141" customFormat="1" ht="36.6" customHeight="1" x14ac:dyDescent="0.25">
      <c r="A47" s="521"/>
      <c r="B47" s="521"/>
      <c r="C47" s="561" t="s">
        <v>1222</v>
      </c>
      <c r="D47" s="564">
        <v>164207</v>
      </c>
      <c r="E47" s="530"/>
      <c r="F47" s="319">
        <f>471765+táj1!F47</f>
        <v>471765</v>
      </c>
      <c r="G47" s="530"/>
      <c r="H47" s="319">
        <f>181966+táj1!H47</f>
        <v>181966</v>
      </c>
      <c r="I47" s="535"/>
      <c r="J47" s="535"/>
      <c r="K47" s="535"/>
      <c r="L47" s="535"/>
      <c r="M47" s="535"/>
      <c r="N47" s="530"/>
      <c r="O47" s="275">
        <f t="shared" si="8"/>
        <v>653731</v>
      </c>
    </row>
    <row r="48" spans="1:15" s="141" customFormat="1" ht="30" customHeight="1" x14ac:dyDescent="0.25">
      <c r="A48" s="149"/>
      <c r="B48" s="149"/>
      <c r="C48" s="313" t="s">
        <v>247</v>
      </c>
      <c r="D48" s="731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275"/>
    </row>
    <row r="49" spans="1:15" s="141" customFormat="1" ht="22.95" customHeight="1" x14ac:dyDescent="0.25">
      <c r="A49" s="149"/>
      <c r="B49" s="149"/>
      <c r="C49" s="316" t="s">
        <v>248</v>
      </c>
      <c r="D49" s="318">
        <v>162695</v>
      </c>
      <c r="E49" s="319">
        <f>1600+táj1!E49</f>
        <v>1600</v>
      </c>
      <c r="F49" s="319"/>
      <c r="G49" s="319"/>
      <c r="H49" s="319"/>
      <c r="I49" s="319"/>
      <c r="J49" s="319"/>
      <c r="K49" s="319"/>
      <c r="L49" s="319"/>
      <c r="M49" s="319"/>
      <c r="N49" s="319"/>
      <c r="O49" s="275">
        <f t="shared" ref="O49:O87" si="9">SUM(E49:N49)</f>
        <v>1600</v>
      </c>
    </row>
    <row r="50" spans="1:15" s="141" customFormat="1" ht="19.5" customHeight="1" x14ac:dyDescent="0.25">
      <c r="A50" s="149"/>
      <c r="B50" s="149"/>
      <c r="C50" s="551" t="s">
        <v>249</v>
      </c>
      <c r="D50" s="318">
        <v>162607</v>
      </c>
      <c r="E50" s="319"/>
      <c r="F50" s="319"/>
      <c r="G50" s="319"/>
      <c r="H50" s="319"/>
      <c r="I50" s="319"/>
      <c r="J50" s="319"/>
      <c r="K50" s="319"/>
      <c r="L50" s="319"/>
      <c r="M50" s="319">
        <f>5095+táj1!M50</f>
        <v>5095</v>
      </c>
      <c r="N50" s="319"/>
      <c r="O50" s="275">
        <f t="shared" si="9"/>
        <v>5095</v>
      </c>
    </row>
    <row r="51" spans="1:15" s="141" customFormat="1" ht="25.5" customHeight="1" x14ac:dyDescent="0.25">
      <c r="A51" s="149"/>
      <c r="B51" s="149"/>
      <c r="C51" s="150" t="s">
        <v>250</v>
      </c>
      <c r="D51" s="318">
        <v>162640</v>
      </c>
      <c r="E51" s="319"/>
      <c r="F51" s="319"/>
      <c r="G51" s="319"/>
      <c r="H51" s="319"/>
      <c r="I51" s="319"/>
      <c r="J51" s="319"/>
      <c r="K51" s="319"/>
      <c r="L51" s="319"/>
      <c r="M51" s="319">
        <f>137601+táj1!M51</f>
        <v>137601</v>
      </c>
      <c r="N51" s="319"/>
      <c r="O51" s="275">
        <f t="shared" si="9"/>
        <v>137601</v>
      </c>
    </row>
    <row r="52" spans="1:15" s="141" customFormat="1" ht="37.5" customHeight="1" x14ac:dyDescent="0.25">
      <c r="A52" s="149"/>
      <c r="B52" s="149"/>
      <c r="C52" s="539" t="s">
        <v>251</v>
      </c>
      <c r="D52" s="315">
        <v>163606</v>
      </c>
      <c r="E52" s="319">
        <f>13815+táj1!E52</f>
        <v>13815</v>
      </c>
      <c r="F52" s="319">
        <f>33971+táj1!F52</f>
        <v>33971</v>
      </c>
      <c r="G52" s="319"/>
      <c r="H52" s="319"/>
      <c r="I52" s="319"/>
      <c r="J52" s="319"/>
      <c r="K52" s="319"/>
      <c r="L52" s="319"/>
      <c r="M52" s="319"/>
      <c r="N52" s="319"/>
      <c r="O52" s="275">
        <f t="shared" si="9"/>
        <v>47786</v>
      </c>
    </row>
    <row r="53" spans="1:15" s="141" customFormat="1" ht="77.25" customHeight="1" x14ac:dyDescent="0.25">
      <c r="A53" s="149"/>
      <c r="B53" s="149"/>
      <c r="C53" s="542" t="s">
        <v>252</v>
      </c>
      <c r="D53" s="315">
        <v>163607</v>
      </c>
      <c r="E53" s="319"/>
      <c r="F53" s="319"/>
      <c r="G53" s="319"/>
      <c r="H53" s="319"/>
      <c r="I53" s="319"/>
      <c r="J53" s="319"/>
      <c r="K53" s="319"/>
      <c r="L53" s="319"/>
      <c r="M53" s="319">
        <f>527824+táj1!M53</f>
        <v>527824</v>
      </c>
      <c r="N53" s="319"/>
      <c r="O53" s="275">
        <f t="shared" si="9"/>
        <v>527824</v>
      </c>
    </row>
    <row r="54" spans="1:15" s="141" customFormat="1" ht="37.5" customHeight="1" x14ac:dyDescent="0.25">
      <c r="A54" s="149"/>
      <c r="B54" s="149"/>
      <c r="C54" s="542" t="s">
        <v>253</v>
      </c>
      <c r="D54" s="315">
        <v>163608</v>
      </c>
      <c r="E54" s="557"/>
      <c r="F54" s="319">
        <f>140536+táj1!F54</f>
        <v>140536</v>
      </c>
      <c r="G54" s="319"/>
      <c r="H54" s="319"/>
      <c r="I54" s="319"/>
      <c r="J54" s="319"/>
      <c r="K54" s="319"/>
      <c r="L54" s="319"/>
      <c r="M54" s="319">
        <f>467164+táj1!M54</f>
        <v>467164</v>
      </c>
      <c r="N54" s="319"/>
      <c r="O54" s="275">
        <f t="shared" si="9"/>
        <v>607700</v>
      </c>
    </row>
    <row r="55" spans="1:15" s="141" customFormat="1" ht="37.5" customHeight="1" x14ac:dyDescent="0.25">
      <c r="A55" s="149"/>
      <c r="B55" s="149"/>
      <c r="C55" s="542" t="s">
        <v>254</v>
      </c>
      <c r="D55" s="315">
        <v>163609</v>
      </c>
      <c r="E55" s="557"/>
      <c r="F55" s="319">
        <f>38040+táj1!F55</f>
        <v>38040</v>
      </c>
      <c r="G55" s="319"/>
      <c r="H55" s="319"/>
      <c r="I55" s="319"/>
      <c r="J55" s="319"/>
      <c r="K55" s="319"/>
      <c r="L55" s="319"/>
      <c r="M55" s="319">
        <f>159501+táj1!M55</f>
        <v>159501</v>
      </c>
      <c r="N55" s="319"/>
      <c r="O55" s="275">
        <f t="shared" si="9"/>
        <v>197541</v>
      </c>
    </row>
    <row r="56" spans="1:15" s="141" customFormat="1" ht="42" customHeight="1" x14ac:dyDescent="0.25">
      <c r="A56" s="149"/>
      <c r="B56" s="149"/>
      <c r="C56" s="543" t="s">
        <v>255</v>
      </c>
      <c r="D56" s="315">
        <v>163611</v>
      </c>
      <c r="E56" s="319"/>
      <c r="F56" s="319"/>
      <c r="G56" s="319"/>
      <c r="H56" s="319"/>
      <c r="I56" s="319"/>
      <c r="J56" s="319"/>
      <c r="K56" s="319"/>
      <c r="L56" s="319"/>
      <c r="M56" s="319">
        <f>140004+táj1!M56</f>
        <v>140004</v>
      </c>
      <c r="N56" s="319"/>
      <c r="O56" s="275">
        <f t="shared" si="9"/>
        <v>140004</v>
      </c>
    </row>
    <row r="57" spans="1:15" s="141" customFormat="1" ht="40.950000000000003" customHeight="1" x14ac:dyDescent="0.25">
      <c r="A57" s="149"/>
      <c r="B57" s="149"/>
      <c r="C57" s="546" t="s">
        <v>256</v>
      </c>
      <c r="D57" s="315">
        <v>163612</v>
      </c>
      <c r="E57" s="557"/>
      <c r="F57" s="319"/>
      <c r="G57" s="319"/>
      <c r="H57" s="319"/>
      <c r="I57" s="319"/>
      <c r="J57" s="319"/>
      <c r="K57" s="319"/>
      <c r="L57" s="319"/>
      <c r="M57" s="319">
        <f>14360+táj1!M57</f>
        <v>14360</v>
      </c>
      <c r="N57" s="319"/>
      <c r="O57" s="275">
        <f t="shared" si="9"/>
        <v>14360</v>
      </c>
    </row>
    <row r="58" spans="1:15" s="141" customFormat="1" ht="42" customHeight="1" x14ac:dyDescent="0.25">
      <c r="A58" s="149"/>
      <c r="B58" s="149"/>
      <c r="C58" s="546" t="s">
        <v>876</v>
      </c>
      <c r="D58" s="315">
        <v>163613</v>
      </c>
      <c r="E58" s="319"/>
      <c r="F58" s="319"/>
      <c r="G58" s="319"/>
      <c r="H58" s="319">
        <f>2994+táj1!H58</f>
        <v>2649</v>
      </c>
      <c r="I58" s="319"/>
      <c r="J58" s="319"/>
      <c r="K58" s="319"/>
      <c r="L58" s="319"/>
      <c r="M58" s="319">
        <f>11092+táj1!M58</f>
        <v>9816</v>
      </c>
      <c r="N58" s="319"/>
      <c r="O58" s="275">
        <f t="shared" si="9"/>
        <v>12465</v>
      </c>
    </row>
    <row r="59" spans="1:15" s="141" customFormat="1" ht="40.950000000000003" customHeight="1" x14ac:dyDescent="0.25">
      <c r="A59" s="149"/>
      <c r="B59" s="149"/>
      <c r="C59" s="800" t="s">
        <v>257</v>
      </c>
      <c r="D59" s="315">
        <v>163614</v>
      </c>
      <c r="E59" s="319"/>
      <c r="F59" s="319"/>
      <c r="G59" s="319"/>
      <c r="H59" s="319"/>
      <c r="I59" s="319"/>
      <c r="J59" s="319"/>
      <c r="K59" s="319"/>
      <c r="L59" s="319"/>
      <c r="M59" s="319">
        <f>10677+táj1!M59</f>
        <v>10677</v>
      </c>
      <c r="N59" s="319"/>
      <c r="O59" s="275">
        <f t="shared" si="9"/>
        <v>10677</v>
      </c>
    </row>
    <row r="60" spans="1:15" s="141" customFormat="1" ht="37.5" customHeight="1" x14ac:dyDescent="0.25">
      <c r="A60" s="149"/>
      <c r="B60" s="149"/>
      <c r="C60" s="800" t="s">
        <v>258</v>
      </c>
      <c r="D60" s="315">
        <v>163616</v>
      </c>
      <c r="E60" s="319"/>
      <c r="F60" s="319"/>
      <c r="G60" s="319"/>
      <c r="H60" s="319"/>
      <c r="I60" s="319"/>
      <c r="J60" s="319"/>
      <c r="K60" s="319"/>
      <c r="L60" s="319"/>
      <c r="M60" s="319">
        <f>31299+táj1!M60</f>
        <v>31299</v>
      </c>
      <c r="N60" s="319"/>
      <c r="O60" s="275">
        <f t="shared" si="9"/>
        <v>31299</v>
      </c>
    </row>
    <row r="61" spans="1:15" s="141" customFormat="1" ht="37.5" customHeight="1" x14ac:dyDescent="0.25">
      <c r="A61" s="149"/>
      <c r="B61" s="149"/>
      <c r="C61" s="800" t="s">
        <v>259</v>
      </c>
      <c r="D61" s="318">
        <v>163623</v>
      </c>
      <c r="E61" s="319"/>
      <c r="F61" s="319"/>
      <c r="G61" s="319"/>
      <c r="H61" s="319"/>
      <c r="I61" s="319"/>
      <c r="J61" s="319"/>
      <c r="K61" s="319"/>
      <c r="L61" s="319"/>
      <c r="M61" s="319">
        <f>2908+táj1!M61</f>
        <v>2908</v>
      </c>
      <c r="N61" s="319"/>
      <c r="O61" s="275">
        <f t="shared" si="9"/>
        <v>2908</v>
      </c>
    </row>
    <row r="62" spans="1:15" s="141" customFormat="1" ht="27" customHeight="1" x14ac:dyDescent="0.25">
      <c r="A62" s="149"/>
      <c r="B62" s="149"/>
      <c r="C62" s="547" t="s">
        <v>1000</v>
      </c>
      <c r="D62" s="318">
        <v>163625</v>
      </c>
      <c r="E62" s="557"/>
      <c r="F62" s="319">
        <f>588000+táj1!F62</f>
        <v>588000</v>
      </c>
      <c r="G62" s="319"/>
      <c r="H62" s="319"/>
      <c r="I62" s="319"/>
      <c r="J62" s="319"/>
      <c r="K62" s="319"/>
      <c r="L62" s="319"/>
      <c r="M62" s="319">
        <f>493124+táj1!M62</f>
        <v>493124</v>
      </c>
      <c r="N62" s="319"/>
      <c r="O62" s="275">
        <f t="shared" si="9"/>
        <v>1081124</v>
      </c>
    </row>
    <row r="63" spans="1:15" s="141" customFormat="1" ht="38.25" customHeight="1" x14ac:dyDescent="0.25">
      <c r="A63" s="149"/>
      <c r="B63" s="149"/>
      <c r="C63" s="150" t="s">
        <v>260</v>
      </c>
      <c r="D63" s="318">
        <v>163626</v>
      </c>
      <c r="E63" s="557"/>
      <c r="F63" s="319"/>
      <c r="G63" s="319"/>
      <c r="H63" s="319">
        <f>338+táj1!H63</f>
        <v>338</v>
      </c>
      <c r="I63" s="319"/>
      <c r="J63" s="319"/>
      <c r="K63" s="319"/>
      <c r="L63" s="319"/>
      <c r="M63" s="319">
        <f>16176+táj1!M63</f>
        <v>16176</v>
      </c>
      <c r="N63" s="319"/>
      <c r="O63" s="275">
        <f t="shared" si="9"/>
        <v>16514</v>
      </c>
    </row>
    <row r="64" spans="1:15" s="141" customFormat="1" ht="37.5" customHeight="1" x14ac:dyDescent="0.25">
      <c r="A64" s="149"/>
      <c r="B64" s="149"/>
      <c r="C64" s="801" t="s">
        <v>261</v>
      </c>
      <c r="D64" s="318">
        <v>163627</v>
      </c>
      <c r="E64" s="557"/>
      <c r="F64" s="319">
        <f>2806+táj1!F64</f>
        <v>2806</v>
      </c>
      <c r="G64" s="319"/>
      <c r="H64" s="319"/>
      <c r="I64" s="319"/>
      <c r="J64" s="319"/>
      <c r="K64" s="319"/>
      <c r="L64" s="319"/>
      <c r="M64" s="319">
        <f>162459+táj1!M64</f>
        <v>162459</v>
      </c>
      <c r="N64" s="319"/>
      <c r="O64" s="275">
        <f t="shared" si="9"/>
        <v>165265</v>
      </c>
    </row>
    <row r="65" spans="1:15" s="141" customFormat="1" ht="41.25" customHeight="1" x14ac:dyDescent="0.25">
      <c r="A65" s="149"/>
      <c r="B65" s="149"/>
      <c r="C65" s="550" t="s">
        <v>263</v>
      </c>
      <c r="D65" s="318">
        <v>163628</v>
      </c>
      <c r="E65" s="319"/>
      <c r="F65" s="319"/>
      <c r="G65" s="319"/>
      <c r="H65" s="319">
        <f>1944+táj1!H65</f>
        <v>1944</v>
      </c>
      <c r="I65" s="319"/>
      <c r="J65" s="319"/>
      <c r="K65" s="319"/>
      <c r="L65" s="319"/>
      <c r="M65" s="319">
        <f>3390+táj1!M65</f>
        <v>3390</v>
      </c>
      <c r="N65" s="319"/>
      <c r="O65" s="275">
        <f t="shared" si="9"/>
        <v>5334</v>
      </c>
    </row>
    <row r="66" spans="1:15" s="141" customFormat="1" ht="30.75" customHeight="1" x14ac:dyDescent="0.25">
      <c r="A66" s="149"/>
      <c r="B66" s="149"/>
      <c r="C66" s="801" t="s">
        <v>262</v>
      </c>
      <c r="D66" s="318">
        <v>163629</v>
      </c>
      <c r="E66" s="319"/>
      <c r="F66" s="319"/>
      <c r="G66" s="319"/>
      <c r="H66" s="319">
        <f>7689+táj1!H66</f>
        <v>7689</v>
      </c>
      <c r="I66" s="319"/>
      <c r="J66" s="319"/>
      <c r="K66" s="319"/>
      <c r="L66" s="319"/>
      <c r="M66" s="319">
        <f>35267+táj1!M66</f>
        <v>35267</v>
      </c>
      <c r="N66" s="319"/>
      <c r="O66" s="275">
        <f t="shared" si="9"/>
        <v>42956</v>
      </c>
    </row>
    <row r="67" spans="1:15" s="141" customFormat="1" ht="41.25" customHeight="1" x14ac:dyDescent="0.25">
      <c r="A67" s="149"/>
      <c r="B67" s="149"/>
      <c r="C67" s="152" t="s">
        <v>264</v>
      </c>
      <c r="D67" s="318">
        <v>163633</v>
      </c>
      <c r="E67" s="319"/>
      <c r="F67" s="319"/>
      <c r="G67" s="319"/>
      <c r="H67" s="319"/>
      <c r="I67" s="319"/>
      <c r="J67" s="319"/>
      <c r="K67" s="319"/>
      <c r="L67" s="319"/>
      <c r="M67" s="319">
        <f>100851+táj1!M67</f>
        <v>100851</v>
      </c>
      <c r="N67" s="319"/>
      <c r="O67" s="275">
        <f t="shared" si="9"/>
        <v>100851</v>
      </c>
    </row>
    <row r="68" spans="1:15" s="141" customFormat="1" ht="50.25" customHeight="1" x14ac:dyDescent="0.25">
      <c r="A68" s="149"/>
      <c r="B68" s="149"/>
      <c r="C68" s="150" t="s">
        <v>265</v>
      </c>
      <c r="D68" s="318">
        <v>163637</v>
      </c>
      <c r="E68" s="319"/>
      <c r="F68" s="319"/>
      <c r="G68" s="319"/>
      <c r="H68" s="319">
        <f>16887+táj1!H68</f>
        <v>17232</v>
      </c>
      <c r="I68" s="319"/>
      <c r="J68" s="319"/>
      <c r="K68" s="319"/>
      <c r="L68" s="319"/>
      <c r="M68" s="319">
        <f>62545+táj1!M68</f>
        <v>63821</v>
      </c>
      <c r="N68" s="319"/>
      <c r="O68" s="275">
        <f t="shared" si="9"/>
        <v>81053</v>
      </c>
    </row>
    <row r="69" spans="1:15" s="141" customFormat="1" ht="30" customHeight="1" x14ac:dyDescent="0.25">
      <c r="A69" s="149"/>
      <c r="B69" s="149"/>
      <c r="C69" s="152" t="s">
        <v>266</v>
      </c>
      <c r="D69" s="318">
        <v>163638</v>
      </c>
      <c r="E69" s="319"/>
      <c r="F69" s="319"/>
      <c r="G69" s="319"/>
      <c r="H69" s="319"/>
      <c r="I69" s="319"/>
      <c r="J69" s="319"/>
      <c r="K69" s="319"/>
      <c r="L69" s="319"/>
      <c r="M69" s="319">
        <f>4493+táj1!M69</f>
        <v>4493</v>
      </c>
      <c r="N69" s="319"/>
      <c r="O69" s="275">
        <f t="shared" si="9"/>
        <v>4493</v>
      </c>
    </row>
    <row r="70" spans="1:15" s="141" customFormat="1" ht="28.5" customHeight="1" x14ac:dyDescent="0.25">
      <c r="A70" s="149"/>
      <c r="B70" s="149"/>
      <c r="C70" s="152" t="s">
        <v>267</v>
      </c>
      <c r="D70" s="318">
        <v>163639</v>
      </c>
      <c r="E70" s="319">
        <f>718+táj1!E70</f>
        <v>718</v>
      </c>
      <c r="F70" s="319"/>
      <c r="G70" s="319"/>
      <c r="H70" s="319"/>
      <c r="I70" s="319"/>
      <c r="J70" s="319"/>
      <c r="K70" s="319"/>
      <c r="L70" s="319"/>
      <c r="M70" s="319">
        <f>3043+táj1!M70</f>
        <v>3043</v>
      </c>
      <c r="N70" s="319"/>
      <c r="O70" s="275">
        <f t="shared" si="9"/>
        <v>3761</v>
      </c>
    </row>
    <row r="71" spans="1:15" s="141" customFormat="1" ht="28.5" customHeight="1" x14ac:dyDescent="0.25">
      <c r="A71" s="149"/>
      <c r="B71" s="149"/>
      <c r="C71" s="152" t="s">
        <v>268</v>
      </c>
      <c r="D71" s="318">
        <v>163640</v>
      </c>
      <c r="E71" s="319"/>
      <c r="F71" s="319"/>
      <c r="G71" s="319"/>
      <c r="H71" s="319"/>
      <c r="I71" s="319"/>
      <c r="J71" s="319"/>
      <c r="K71" s="319"/>
      <c r="L71" s="319"/>
      <c r="M71" s="319">
        <f>1661+táj1!M71</f>
        <v>1661</v>
      </c>
      <c r="N71" s="319"/>
      <c r="O71" s="275">
        <f t="shared" si="9"/>
        <v>1661</v>
      </c>
    </row>
    <row r="72" spans="1:15" s="141" customFormat="1" ht="28.5" customHeight="1" x14ac:dyDescent="0.25">
      <c r="A72" s="149"/>
      <c r="B72" s="149"/>
      <c r="C72" s="154" t="s">
        <v>877</v>
      </c>
      <c r="D72" s="320">
        <v>163648</v>
      </c>
      <c r="E72" s="319"/>
      <c r="F72" s="319"/>
      <c r="G72" s="319"/>
      <c r="H72" s="319"/>
      <c r="I72" s="319"/>
      <c r="J72" s="319"/>
      <c r="K72" s="319"/>
      <c r="L72" s="319"/>
      <c r="M72" s="319">
        <f>189+táj1!M72</f>
        <v>189</v>
      </c>
      <c r="N72" s="319"/>
      <c r="O72" s="275">
        <f t="shared" si="9"/>
        <v>189</v>
      </c>
    </row>
    <row r="73" spans="1:15" s="141" customFormat="1" ht="53.25" customHeight="1" x14ac:dyDescent="0.25">
      <c r="A73" s="149"/>
      <c r="B73" s="149"/>
      <c r="C73" s="621" t="s">
        <v>1001</v>
      </c>
      <c r="D73" s="172">
        <v>163652</v>
      </c>
      <c r="E73" s="319"/>
      <c r="F73" s="319"/>
      <c r="G73" s="319"/>
      <c r="H73" s="319"/>
      <c r="I73" s="319"/>
      <c r="J73" s="319"/>
      <c r="K73" s="319"/>
      <c r="L73" s="319"/>
      <c r="M73" s="319">
        <f>255898+táj1!M73</f>
        <v>255898</v>
      </c>
      <c r="N73" s="319"/>
      <c r="O73" s="275">
        <f t="shared" si="9"/>
        <v>255898</v>
      </c>
    </row>
    <row r="74" spans="1:15" s="141" customFormat="1" ht="48.75" customHeight="1" x14ac:dyDescent="0.25">
      <c r="A74" s="149"/>
      <c r="B74" s="149"/>
      <c r="C74" s="622" t="s">
        <v>878</v>
      </c>
      <c r="D74" s="172">
        <v>163653</v>
      </c>
      <c r="E74" s="319"/>
      <c r="F74" s="319"/>
      <c r="G74" s="319"/>
      <c r="H74" s="319"/>
      <c r="I74" s="319"/>
      <c r="J74" s="319"/>
      <c r="K74" s="319"/>
      <c r="L74" s="319"/>
      <c r="M74" s="319">
        <f>758777+táj1!M74</f>
        <v>758777</v>
      </c>
      <c r="N74" s="319"/>
      <c r="O74" s="275">
        <f t="shared" si="9"/>
        <v>758777</v>
      </c>
    </row>
    <row r="75" spans="1:15" s="141" customFormat="1" ht="39.6" x14ac:dyDescent="0.25">
      <c r="A75" s="149"/>
      <c r="B75" s="149"/>
      <c r="C75" s="551" t="s">
        <v>269</v>
      </c>
      <c r="D75" s="318">
        <v>163621</v>
      </c>
      <c r="E75" s="319"/>
      <c r="F75" s="319"/>
      <c r="G75" s="319"/>
      <c r="H75" s="319">
        <f>3945+táj1!H75</f>
        <v>9901</v>
      </c>
      <c r="I75" s="319"/>
      <c r="J75" s="319"/>
      <c r="K75" s="319"/>
      <c r="L75" s="319"/>
      <c r="M75" s="319">
        <f>827668+táj1!M75</f>
        <v>827668</v>
      </c>
      <c r="N75" s="319">
        <f>4329000+táj1!N75</f>
        <v>4329000</v>
      </c>
      <c r="O75" s="275">
        <f t="shared" si="9"/>
        <v>5166569</v>
      </c>
    </row>
    <row r="76" spans="1:15" s="141" customFormat="1" ht="28.5" customHeight="1" x14ac:dyDescent="0.25">
      <c r="A76" s="149"/>
      <c r="B76" s="149"/>
      <c r="C76" s="552" t="s">
        <v>270</v>
      </c>
      <c r="D76" s="318">
        <v>162687</v>
      </c>
      <c r="E76" s="319"/>
      <c r="F76" s="319"/>
      <c r="G76" s="319"/>
      <c r="H76" s="319">
        <f>167944+táj1!H76</f>
        <v>167944</v>
      </c>
      <c r="I76" s="319"/>
      <c r="J76" s="319"/>
      <c r="K76" s="319"/>
      <c r="L76" s="319"/>
      <c r="M76" s="319">
        <f>615849+táj1!M76</f>
        <v>615849</v>
      </c>
      <c r="N76" s="319"/>
      <c r="O76" s="275">
        <f t="shared" si="9"/>
        <v>783793</v>
      </c>
    </row>
    <row r="77" spans="1:15" s="141" customFormat="1" ht="29.25" customHeight="1" x14ac:dyDescent="0.25">
      <c r="A77" s="149"/>
      <c r="B77" s="149"/>
      <c r="C77" s="150" t="s">
        <v>271</v>
      </c>
      <c r="D77" s="318">
        <v>163702</v>
      </c>
      <c r="E77" s="319"/>
      <c r="F77" s="319"/>
      <c r="G77" s="319"/>
      <c r="H77" s="319">
        <f>299924+táj1!H77</f>
        <v>299924</v>
      </c>
      <c r="I77" s="319"/>
      <c r="J77" s="319"/>
      <c r="K77" s="319"/>
      <c r="L77" s="319"/>
      <c r="M77" s="319">
        <f>18803+táj1!M77</f>
        <v>18803</v>
      </c>
      <c r="N77" s="319">
        <f>1092900+táj1!N77</f>
        <v>1092900</v>
      </c>
      <c r="O77" s="275">
        <f t="shared" si="9"/>
        <v>1411627</v>
      </c>
    </row>
    <row r="78" spans="1:15" s="141" customFormat="1" ht="29.25" customHeight="1" x14ac:dyDescent="0.25">
      <c r="A78" s="149"/>
      <c r="B78" s="149"/>
      <c r="C78" s="150" t="s">
        <v>272</v>
      </c>
      <c r="D78" s="318">
        <v>163641</v>
      </c>
      <c r="E78" s="319"/>
      <c r="F78" s="319"/>
      <c r="G78" s="319"/>
      <c r="H78" s="319"/>
      <c r="I78" s="319"/>
      <c r="J78" s="319"/>
      <c r="K78" s="319"/>
      <c r="L78" s="319"/>
      <c r="M78" s="319">
        <f>494+táj1!M78</f>
        <v>494</v>
      </c>
      <c r="N78" s="319"/>
      <c r="O78" s="275">
        <f t="shared" si="9"/>
        <v>494</v>
      </c>
    </row>
    <row r="79" spans="1:15" s="141" customFormat="1" ht="29.25" customHeight="1" x14ac:dyDescent="0.25">
      <c r="A79" s="149"/>
      <c r="B79" s="149"/>
      <c r="C79" s="553" t="s">
        <v>273</v>
      </c>
      <c r="D79" s="318">
        <v>163644</v>
      </c>
      <c r="E79" s="319"/>
      <c r="F79" s="319"/>
      <c r="G79" s="319"/>
      <c r="H79" s="319"/>
      <c r="I79" s="319"/>
      <c r="J79" s="319"/>
      <c r="K79" s="319"/>
      <c r="L79" s="319"/>
      <c r="M79" s="319">
        <f>221147+táj1!M79</f>
        <v>221147</v>
      </c>
      <c r="N79" s="319"/>
      <c r="O79" s="275">
        <f t="shared" si="9"/>
        <v>221147</v>
      </c>
    </row>
    <row r="80" spans="1:15" s="141" customFormat="1" ht="36.75" customHeight="1" x14ac:dyDescent="0.25">
      <c r="A80" s="149"/>
      <c r="B80" s="149"/>
      <c r="C80" s="152" t="s">
        <v>1112</v>
      </c>
      <c r="D80" s="321">
        <v>163650</v>
      </c>
      <c r="E80" s="319">
        <f>0+táj1!E80</f>
        <v>700351</v>
      </c>
      <c r="F80" s="319">
        <f>5839220+táj1!F80</f>
        <v>5138869</v>
      </c>
      <c r="G80" s="319"/>
      <c r="H80" s="319">
        <f>0+táj1!H80</f>
        <v>9807</v>
      </c>
      <c r="I80" s="319"/>
      <c r="J80" s="319"/>
      <c r="K80" s="319"/>
      <c r="L80" s="319"/>
      <c r="M80" s="319">
        <f>102949+táj1!M80</f>
        <v>102949</v>
      </c>
      <c r="N80" s="319">
        <f>6422060+táj1!N80</f>
        <v>6422060</v>
      </c>
      <c r="O80" s="275">
        <f t="shared" si="9"/>
        <v>12374036</v>
      </c>
    </row>
    <row r="81" spans="1:15" s="141" customFormat="1" ht="29.25" customHeight="1" x14ac:dyDescent="0.25">
      <c r="A81" s="149"/>
      <c r="B81" s="149"/>
      <c r="C81" s="150" t="s">
        <v>274</v>
      </c>
      <c r="D81" s="318">
        <v>163643</v>
      </c>
      <c r="E81" s="319"/>
      <c r="F81" s="319"/>
      <c r="G81" s="319"/>
      <c r="H81" s="319"/>
      <c r="I81" s="319"/>
      <c r="J81" s="319"/>
      <c r="K81" s="319"/>
      <c r="L81" s="319"/>
      <c r="M81" s="319">
        <f>4471+táj1!M81</f>
        <v>4471</v>
      </c>
      <c r="N81" s="319"/>
      <c r="O81" s="275">
        <f t="shared" si="9"/>
        <v>4471</v>
      </c>
    </row>
    <row r="82" spans="1:15" s="141" customFormat="1" ht="48" customHeight="1" x14ac:dyDescent="0.25">
      <c r="A82" s="149"/>
      <c r="B82" s="149"/>
      <c r="C82" s="150" t="s">
        <v>275</v>
      </c>
      <c r="D82" s="318">
        <v>163645</v>
      </c>
      <c r="E82" s="319"/>
      <c r="F82" s="319"/>
      <c r="G82" s="319"/>
      <c r="H82" s="319"/>
      <c r="I82" s="319"/>
      <c r="J82" s="319"/>
      <c r="K82" s="319"/>
      <c r="L82" s="319"/>
      <c r="M82" s="319">
        <f>7222+táj1!M82</f>
        <v>7222</v>
      </c>
      <c r="N82" s="319"/>
      <c r="O82" s="275">
        <f t="shared" si="9"/>
        <v>7222</v>
      </c>
    </row>
    <row r="83" spans="1:15" s="141" customFormat="1" ht="36.75" customHeight="1" x14ac:dyDescent="0.25">
      <c r="A83" s="149"/>
      <c r="B83" s="149"/>
      <c r="C83" s="554" t="s">
        <v>1111</v>
      </c>
      <c r="D83" s="802" t="s">
        <v>1313</v>
      </c>
      <c r="E83" s="319">
        <f>0+táj1!E83</f>
        <v>348405</v>
      </c>
      <c r="F83" s="319">
        <f>8350000+táj1!F83</f>
        <v>7882788</v>
      </c>
      <c r="G83" s="319"/>
      <c r="H83" s="319">
        <f>342165+táj1!H83</f>
        <v>463505</v>
      </c>
      <c r="I83" s="319"/>
      <c r="J83" s="319"/>
      <c r="K83" s="319"/>
      <c r="L83" s="319"/>
      <c r="M83" s="319"/>
      <c r="N83" s="319"/>
      <c r="O83" s="275">
        <f t="shared" si="9"/>
        <v>8694698</v>
      </c>
    </row>
    <row r="84" spans="1:15" s="141" customFormat="1" ht="25.5" customHeight="1" x14ac:dyDescent="0.25">
      <c r="A84" s="149"/>
      <c r="B84" s="149"/>
      <c r="C84" s="804" t="s">
        <v>276</v>
      </c>
      <c r="D84" s="318">
        <v>162630</v>
      </c>
      <c r="E84" s="319"/>
      <c r="F84" s="319"/>
      <c r="G84" s="319"/>
      <c r="H84" s="319"/>
      <c r="I84" s="319"/>
      <c r="J84" s="319"/>
      <c r="K84" s="319"/>
      <c r="L84" s="319"/>
      <c r="M84" s="319">
        <f>2293+táj1!M84</f>
        <v>2293</v>
      </c>
      <c r="N84" s="319"/>
      <c r="O84" s="275">
        <f t="shared" si="9"/>
        <v>2293</v>
      </c>
    </row>
    <row r="85" spans="1:15" s="141" customFormat="1" ht="21.75" customHeight="1" x14ac:dyDescent="0.25">
      <c r="A85" s="149"/>
      <c r="B85" s="149"/>
      <c r="C85" s="154" t="s">
        <v>1314</v>
      </c>
      <c r="D85" s="321">
        <v>163651</v>
      </c>
      <c r="E85" s="319"/>
      <c r="F85" s="319"/>
      <c r="G85" s="319"/>
      <c r="H85" s="319"/>
      <c r="I85" s="319"/>
      <c r="J85" s="319"/>
      <c r="K85" s="319"/>
      <c r="L85" s="319"/>
      <c r="M85" s="319">
        <f>37253+táj1!M85</f>
        <v>37253</v>
      </c>
      <c r="N85" s="319"/>
      <c r="O85" s="275">
        <f t="shared" si="9"/>
        <v>37253</v>
      </c>
    </row>
    <row r="86" spans="1:15" s="141" customFormat="1" ht="28.95" customHeight="1" x14ac:dyDescent="0.25">
      <c r="A86" s="149"/>
      <c r="B86" s="149"/>
      <c r="C86" s="554" t="s">
        <v>1113</v>
      </c>
      <c r="D86" s="321">
        <v>163656</v>
      </c>
      <c r="E86" s="319">
        <f>28915+táj1!E86</f>
        <v>28915</v>
      </c>
      <c r="F86" s="319">
        <f>85725+táj1!F86</f>
        <v>85725</v>
      </c>
      <c r="G86" s="319"/>
      <c r="H86" s="319"/>
      <c r="I86" s="319"/>
      <c r="J86" s="319"/>
      <c r="K86" s="319"/>
      <c r="L86" s="319"/>
      <c r="M86" s="319"/>
      <c r="N86" s="319"/>
      <c r="O86" s="275">
        <f t="shared" si="9"/>
        <v>114640</v>
      </c>
    </row>
    <row r="87" spans="1:15" s="141" customFormat="1" ht="28.95" customHeight="1" x14ac:dyDescent="0.25">
      <c r="A87" s="745"/>
      <c r="B87" s="745"/>
      <c r="C87" s="823" t="s">
        <v>1316</v>
      </c>
      <c r="D87" s="822">
        <v>161908</v>
      </c>
      <c r="E87" s="750"/>
      <c r="F87" s="319"/>
      <c r="G87" s="319"/>
      <c r="H87" s="319">
        <f>0+táj1!H87</f>
        <v>7268</v>
      </c>
      <c r="I87" s="750"/>
      <c r="J87" s="750"/>
      <c r="K87" s="750"/>
      <c r="L87" s="750"/>
      <c r="M87" s="750"/>
      <c r="N87" s="750"/>
      <c r="O87" s="275">
        <f t="shared" si="9"/>
        <v>7268</v>
      </c>
    </row>
    <row r="88" spans="1:15" s="141" customFormat="1" ht="12.9" customHeight="1" x14ac:dyDescent="0.25">
      <c r="A88" s="155"/>
      <c r="B88" s="155"/>
      <c r="C88" s="322" t="s">
        <v>277</v>
      </c>
      <c r="D88" s="155"/>
      <c r="E88" s="323">
        <f>SUM(E40:E87)</f>
        <v>1098894</v>
      </c>
      <c r="F88" s="323">
        <f t="shared" ref="F88:O88" si="10">SUM(F40:F87)</f>
        <v>14606859</v>
      </c>
      <c r="G88" s="323">
        <f t="shared" si="10"/>
        <v>0</v>
      </c>
      <c r="H88" s="323">
        <f t="shared" si="10"/>
        <v>1974517</v>
      </c>
      <c r="I88" s="323">
        <f t="shared" si="10"/>
        <v>0</v>
      </c>
      <c r="J88" s="323">
        <f t="shared" si="10"/>
        <v>0</v>
      </c>
      <c r="K88" s="323">
        <f t="shared" si="10"/>
        <v>0</v>
      </c>
      <c r="L88" s="323">
        <f t="shared" si="10"/>
        <v>0</v>
      </c>
      <c r="M88" s="323">
        <f t="shared" si="10"/>
        <v>5400857</v>
      </c>
      <c r="N88" s="323">
        <f t="shared" si="10"/>
        <v>11843960</v>
      </c>
      <c r="O88" s="323">
        <f t="shared" si="10"/>
        <v>34925087</v>
      </c>
    </row>
    <row r="89" spans="1:15" s="141" customFormat="1" ht="12.9" customHeight="1" x14ac:dyDescent="0.25">
      <c r="A89" s="149">
        <v>1</v>
      </c>
      <c r="B89" s="149">
        <v>17</v>
      </c>
      <c r="C89" s="324" t="s">
        <v>132</v>
      </c>
      <c r="D89" s="156"/>
      <c r="E89" s="275"/>
      <c r="F89" s="275"/>
      <c r="G89" s="275"/>
      <c r="H89" s="275"/>
      <c r="I89" s="275"/>
      <c r="J89" s="275"/>
      <c r="K89" s="275"/>
      <c r="L89" s="275"/>
      <c r="M89" s="275"/>
      <c r="N89" s="275"/>
      <c r="O89" s="275"/>
    </row>
    <row r="90" spans="1:15" s="141" customFormat="1" ht="24" customHeight="1" x14ac:dyDescent="0.25">
      <c r="A90" s="149"/>
      <c r="B90" s="149"/>
      <c r="C90" s="154" t="s">
        <v>247</v>
      </c>
      <c r="D90" s="325"/>
      <c r="E90" s="157"/>
      <c r="F90" s="275"/>
      <c r="G90" s="275"/>
      <c r="H90" s="275"/>
      <c r="I90" s="275"/>
      <c r="J90" s="275"/>
      <c r="K90" s="275"/>
      <c r="L90" s="275"/>
      <c r="M90" s="275"/>
      <c r="N90" s="275"/>
      <c r="O90" s="275"/>
    </row>
    <row r="91" spans="1:15" s="141" customFormat="1" ht="14.1" customHeight="1" x14ac:dyDescent="0.25">
      <c r="A91" s="149"/>
      <c r="B91" s="149"/>
      <c r="C91" s="158" t="s">
        <v>278</v>
      </c>
      <c r="D91" s="326">
        <v>171907</v>
      </c>
      <c r="E91" s="275"/>
      <c r="F91" s="275"/>
      <c r="G91" s="275"/>
      <c r="H91" s="275"/>
      <c r="I91" s="275">
        <f>69500+táj1!I91</f>
        <v>69500</v>
      </c>
      <c r="J91" s="275"/>
      <c r="K91" s="275"/>
      <c r="L91" s="275"/>
      <c r="M91" s="275"/>
      <c r="N91" s="275"/>
      <c r="O91" s="527">
        <f>SUM(E91:N91)</f>
        <v>69500</v>
      </c>
    </row>
    <row r="92" spans="1:15" s="141" customFormat="1" ht="25.2" customHeight="1" x14ac:dyDescent="0.25">
      <c r="A92" s="149"/>
      <c r="B92" s="149"/>
      <c r="C92" s="620" t="s">
        <v>1221</v>
      </c>
      <c r="D92" s="619">
        <v>171923</v>
      </c>
      <c r="E92" s="275"/>
      <c r="F92" s="275"/>
      <c r="G92" s="275"/>
      <c r="H92" s="275"/>
      <c r="I92" s="275">
        <f>26000+táj1!I92</f>
        <v>26000</v>
      </c>
      <c r="J92" s="275"/>
      <c r="K92" s="275"/>
      <c r="L92" s="275"/>
      <c r="M92" s="275"/>
      <c r="N92" s="275"/>
      <c r="O92" s="275">
        <f>SUM(E92:N92)</f>
        <v>26000</v>
      </c>
    </row>
    <row r="93" spans="1:15" s="141" customFormat="1" ht="23.4" customHeight="1" x14ac:dyDescent="0.25">
      <c r="A93" s="592"/>
      <c r="B93" s="592"/>
      <c r="C93" s="627" t="s">
        <v>1225</v>
      </c>
      <c r="D93" s="650">
        <v>171983</v>
      </c>
      <c r="E93" s="593"/>
      <c r="F93" s="593"/>
      <c r="G93" s="593"/>
      <c r="H93" s="593">
        <f>180000+táj1!H93</f>
        <v>180000</v>
      </c>
      <c r="I93" s="593"/>
      <c r="J93" s="593"/>
      <c r="K93" s="593"/>
      <c r="L93" s="593"/>
      <c r="M93" s="593"/>
      <c r="N93" s="593"/>
      <c r="O93" s="275">
        <f>SUM(E93:N93)</f>
        <v>180000</v>
      </c>
    </row>
    <row r="94" spans="1:15" s="141" customFormat="1" ht="25.5" customHeight="1" x14ac:dyDescent="0.25">
      <c r="A94" s="149"/>
      <c r="B94" s="149"/>
      <c r="C94" s="327" t="s">
        <v>279</v>
      </c>
      <c r="D94" s="328"/>
      <c r="E94" s="275"/>
      <c r="F94" s="275"/>
      <c r="G94" s="275"/>
      <c r="H94" s="593"/>
      <c r="I94" s="275"/>
      <c r="J94" s="275"/>
      <c r="K94" s="275"/>
      <c r="L94" s="275"/>
      <c r="M94" s="275"/>
      <c r="N94" s="275"/>
      <c r="O94" s="275"/>
    </row>
    <row r="95" spans="1:15" s="141" customFormat="1" ht="14.1" customHeight="1" x14ac:dyDescent="0.25">
      <c r="A95" s="149"/>
      <c r="B95" s="149"/>
      <c r="C95" s="329" t="s">
        <v>280</v>
      </c>
      <c r="D95" s="330">
        <v>171980</v>
      </c>
      <c r="E95" s="275"/>
      <c r="F95" s="275"/>
      <c r="G95" s="275"/>
      <c r="H95" s="593">
        <f>48260+táj1!H95</f>
        <v>48260</v>
      </c>
      <c r="I95" s="466"/>
      <c r="J95" s="466"/>
      <c r="K95" s="466"/>
      <c r="L95" s="466"/>
      <c r="M95" s="466"/>
      <c r="N95" s="466"/>
      <c r="O95" s="275">
        <f>SUM(E95:N95)</f>
        <v>48260</v>
      </c>
    </row>
    <row r="96" spans="1:15" s="141" customFormat="1" ht="26.25" customHeight="1" x14ac:dyDescent="0.25">
      <c r="A96" s="159"/>
      <c r="B96" s="159"/>
      <c r="C96" s="154" t="s">
        <v>247</v>
      </c>
      <c r="D96" s="325"/>
      <c r="E96" s="275"/>
      <c r="F96" s="275"/>
      <c r="G96" s="275"/>
      <c r="H96" s="593"/>
      <c r="I96" s="466"/>
      <c r="J96" s="466"/>
      <c r="K96" s="466"/>
      <c r="L96" s="466"/>
      <c r="M96" s="466"/>
      <c r="N96" s="466"/>
      <c r="O96" s="275"/>
    </row>
    <row r="97" spans="1:15" s="141" customFormat="1" ht="29.25" customHeight="1" x14ac:dyDescent="0.25">
      <c r="A97" s="149"/>
      <c r="B97" s="149"/>
      <c r="C97" s="331" t="s">
        <v>281</v>
      </c>
      <c r="D97" s="326">
        <v>171905</v>
      </c>
      <c r="E97" s="275"/>
      <c r="F97" s="275"/>
      <c r="G97" s="275"/>
      <c r="H97" s="593">
        <f>71755+táj1!H97</f>
        <v>71755</v>
      </c>
      <c r="I97" s="466"/>
      <c r="J97" s="466"/>
      <c r="K97" s="466"/>
      <c r="L97" s="466"/>
      <c r="M97" s="466"/>
      <c r="N97" s="466"/>
      <c r="O97" s="275">
        <f t="shared" ref="O97:O107" si="11">SUM(E97:N97)</f>
        <v>71755</v>
      </c>
    </row>
    <row r="98" spans="1:15" s="141" customFormat="1" ht="14.1" customHeight="1" x14ac:dyDescent="0.25">
      <c r="A98" s="142"/>
      <c r="B98" s="142"/>
      <c r="C98" s="332" t="s">
        <v>282</v>
      </c>
      <c r="D98" s="326">
        <v>171909</v>
      </c>
      <c r="E98" s="275"/>
      <c r="F98" s="275"/>
      <c r="G98" s="275"/>
      <c r="H98" s="593">
        <f>19812+táj1!H98</f>
        <v>19812</v>
      </c>
      <c r="I98" s="466"/>
      <c r="J98" s="466"/>
      <c r="K98" s="466"/>
      <c r="L98" s="466"/>
      <c r="M98" s="466"/>
      <c r="N98" s="466"/>
      <c r="O98" s="275">
        <f t="shared" si="11"/>
        <v>19812</v>
      </c>
    </row>
    <row r="99" spans="1:15" s="141" customFormat="1" ht="14.1" customHeight="1" x14ac:dyDescent="0.25">
      <c r="A99" s="142"/>
      <c r="B99" s="142"/>
      <c r="C99" s="332" t="s">
        <v>283</v>
      </c>
      <c r="D99" s="326">
        <v>171904</v>
      </c>
      <c r="E99" s="275"/>
      <c r="F99" s="275"/>
      <c r="G99" s="275"/>
      <c r="H99" s="593">
        <f>2000+táj1!H99</f>
        <v>2000</v>
      </c>
      <c r="I99" s="466"/>
      <c r="J99" s="466"/>
      <c r="K99" s="466"/>
      <c r="L99" s="466"/>
      <c r="M99" s="466"/>
      <c r="N99" s="466"/>
      <c r="O99" s="275">
        <f t="shared" si="11"/>
        <v>2000</v>
      </c>
    </row>
    <row r="100" spans="1:15" s="141" customFormat="1" ht="14.1" customHeight="1" x14ac:dyDescent="0.25">
      <c r="A100" s="142"/>
      <c r="B100" s="142"/>
      <c r="C100" s="332" t="s">
        <v>284</v>
      </c>
      <c r="D100" s="326">
        <v>172909</v>
      </c>
      <c r="E100" s="275"/>
      <c r="F100" s="275"/>
      <c r="G100" s="275"/>
      <c r="H100" s="593">
        <f>105900+táj1!H100</f>
        <v>105900</v>
      </c>
      <c r="I100" s="466"/>
      <c r="J100" s="466"/>
      <c r="K100" s="466"/>
      <c r="L100" s="466"/>
      <c r="M100" s="466"/>
      <c r="N100" s="466"/>
      <c r="O100" s="275">
        <f t="shared" si="11"/>
        <v>105900</v>
      </c>
    </row>
    <row r="101" spans="1:15" s="141" customFormat="1" ht="14.1" customHeight="1" x14ac:dyDescent="0.25">
      <c r="A101" s="142"/>
      <c r="B101" s="142"/>
      <c r="C101" s="332" t="s">
        <v>285</v>
      </c>
      <c r="D101" s="326">
        <v>131857</v>
      </c>
      <c r="E101" s="275"/>
      <c r="F101" s="275"/>
      <c r="G101" s="275"/>
      <c r="H101" s="593">
        <f>15240+táj1!H101</f>
        <v>15240</v>
      </c>
      <c r="I101" s="466"/>
      <c r="J101" s="466"/>
      <c r="K101" s="466"/>
      <c r="L101" s="466"/>
      <c r="M101" s="466"/>
      <c r="N101" s="466"/>
      <c r="O101" s="275">
        <f t="shared" si="11"/>
        <v>15240</v>
      </c>
    </row>
    <row r="102" spans="1:15" s="141" customFormat="1" ht="14.1" customHeight="1" x14ac:dyDescent="0.25">
      <c r="A102" s="142"/>
      <c r="B102" s="142"/>
      <c r="C102" s="332" t="s">
        <v>286</v>
      </c>
      <c r="D102" s="326">
        <v>172920</v>
      </c>
      <c r="E102" s="275"/>
      <c r="F102" s="275"/>
      <c r="G102" s="275"/>
      <c r="H102" s="593">
        <f>11430+táj1!H102</f>
        <v>11430</v>
      </c>
      <c r="I102" s="466"/>
      <c r="J102" s="466"/>
      <c r="K102" s="466"/>
      <c r="L102" s="466"/>
      <c r="M102" s="466"/>
      <c r="N102" s="466"/>
      <c r="O102" s="275">
        <f t="shared" si="11"/>
        <v>11430</v>
      </c>
    </row>
    <row r="103" spans="1:15" s="141" customFormat="1" ht="14.1" customHeight="1" x14ac:dyDescent="0.25">
      <c r="A103" s="142"/>
      <c r="B103" s="142"/>
      <c r="C103" s="332" t="s">
        <v>287</v>
      </c>
      <c r="D103" s="326">
        <v>172922</v>
      </c>
      <c r="E103" s="275"/>
      <c r="F103" s="275"/>
      <c r="G103" s="275"/>
      <c r="H103" s="593">
        <f>40640+táj1!H103</f>
        <v>40640</v>
      </c>
      <c r="I103" s="466"/>
      <c r="J103" s="466"/>
      <c r="K103" s="466"/>
      <c r="L103" s="466"/>
      <c r="M103" s="466"/>
      <c r="N103" s="466"/>
      <c r="O103" s="275">
        <f t="shared" si="11"/>
        <v>40640</v>
      </c>
    </row>
    <row r="104" spans="1:15" s="141" customFormat="1" ht="14.1" customHeight="1" x14ac:dyDescent="0.25">
      <c r="A104" s="142"/>
      <c r="B104" s="142"/>
      <c r="C104" s="332" t="s">
        <v>1114</v>
      </c>
      <c r="D104" s="619">
        <v>171977</v>
      </c>
      <c r="E104" s="275"/>
      <c r="F104" s="275"/>
      <c r="G104" s="275"/>
      <c r="H104" s="593">
        <f>47663+táj1!H104</f>
        <v>47663</v>
      </c>
      <c r="I104" s="466"/>
      <c r="J104" s="466"/>
      <c r="K104" s="466"/>
      <c r="L104" s="466"/>
      <c r="M104" s="466"/>
      <c r="N104" s="466"/>
      <c r="O104" s="275">
        <f t="shared" si="11"/>
        <v>47663</v>
      </c>
    </row>
    <row r="105" spans="1:15" s="141" customFormat="1" ht="14.1" customHeight="1" x14ac:dyDescent="0.25">
      <c r="A105" s="142"/>
      <c r="B105" s="142"/>
      <c r="C105" s="332" t="s">
        <v>1014</v>
      </c>
      <c r="D105" s="619">
        <v>171978</v>
      </c>
      <c r="E105" s="275"/>
      <c r="F105" s="275"/>
      <c r="G105" s="275"/>
      <c r="H105" s="593">
        <f>22098+táj1!H105</f>
        <v>22098</v>
      </c>
      <c r="I105" s="466"/>
      <c r="J105" s="466"/>
      <c r="K105" s="466"/>
      <c r="L105" s="466"/>
      <c r="M105" s="466"/>
      <c r="N105" s="466"/>
      <c r="O105" s="275">
        <f t="shared" si="11"/>
        <v>22098</v>
      </c>
    </row>
    <row r="106" spans="1:15" s="141" customFormat="1" ht="15.6" customHeight="1" x14ac:dyDescent="0.25">
      <c r="A106" s="142"/>
      <c r="B106" s="142"/>
      <c r="C106" s="333" t="s">
        <v>1255</v>
      </c>
      <c r="D106" s="619">
        <v>171979</v>
      </c>
      <c r="E106" s="275"/>
      <c r="F106" s="275"/>
      <c r="G106" s="275"/>
      <c r="H106" s="593">
        <f>8890+táj1!H106</f>
        <v>8890</v>
      </c>
      <c r="I106" s="466"/>
      <c r="J106" s="466"/>
      <c r="K106" s="466"/>
      <c r="L106" s="466"/>
      <c r="M106" s="466"/>
      <c r="N106" s="466"/>
      <c r="O106" s="275">
        <f t="shared" si="11"/>
        <v>8890</v>
      </c>
    </row>
    <row r="107" spans="1:15" s="141" customFormat="1" ht="14.1" customHeight="1" x14ac:dyDescent="0.25">
      <c r="A107" s="142"/>
      <c r="B107" s="142"/>
      <c r="C107" s="332" t="s">
        <v>1015</v>
      </c>
      <c r="D107" s="619">
        <v>171982</v>
      </c>
      <c r="E107" s="275"/>
      <c r="F107" s="275"/>
      <c r="G107" s="275"/>
      <c r="H107" s="593">
        <f>10160+táj1!H107</f>
        <v>10160</v>
      </c>
      <c r="I107" s="466"/>
      <c r="J107" s="466"/>
      <c r="K107" s="466"/>
      <c r="L107" s="466"/>
      <c r="M107" s="466"/>
      <c r="N107" s="466"/>
      <c r="O107" s="275">
        <f t="shared" si="11"/>
        <v>10160</v>
      </c>
    </row>
    <row r="108" spans="1:15" s="141" customFormat="1" ht="24.9" customHeight="1" x14ac:dyDescent="0.25">
      <c r="A108" s="142"/>
      <c r="B108" s="142"/>
      <c r="C108" s="333" t="s">
        <v>288</v>
      </c>
      <c r="D108" s="328"/>
      <c r="E108" s="275"/>
      <c r="F108" s="275"/>
      <c r="G108" s="275"/>
      <c r="H108" s="593"/>
      <c r="I108" s="466"/>
      <c r="J108" s="466"/>
      <c r="K108" s="466"/>
      <c r="L108" s="466"/>
      <c r="M108" s="466"/>
      <c r="N108" s="466"/>
      <c r="O108" s="275"/>
    </row>
    <row r="109" spans="1:15" s="141" customFormat="1" ht="15" customHeight="1" x14ac:dyDescent="0.25">
      <c r="A109" s="142"/>
      <c r="B109" s="142"/>
      <c r="C109" s="158" t="s">
        <v>289</v>
      </c>
      <c r="D109" s="326">
        <v>171901</v>
      </c>
      <c r="E109" s="275"/>
      <c r="F109" s="275"/>
      <c r="G109" s="275"/>
      <c r="H109" s="593">
        <f>17780+táj1!H109</f>
        <v>17780</v>
      </c>
      <c r="I109" s="466"/>
      <c r="J109" s="466"/>
      <c r="K109" s="466"/>
      <c r="L109" s="466"/>
      <c r="M109" s="466"/>
      <c r="N109" s="466"/>
      <c r="O109" s="275">
        <f>SUM(E109:N109)</f>
        <v>17780</v>
      </c>
    </row>
    <row r="110" spans="1:15" s="141" customFormat="1" ht="24.9" customHeight="1" x14ac:dyDescent="0.25">
      <c r="A110" s="149"/>
      <c r="B110" s="149"/>
      <c r="C110" s="334" t="s">
        <v>290</v>
      </c>
      <c r="D110" s="335"/>
      <c r="E110" s="275"/>
      <c r="F110" s="275"/>
      <c r="G110" s="275"/>
      <c r="H110" s="593"/>
      <c r="I110" s="466"/>
      <c r="J110" s="466"/>
      <c r="K110" s="466"/>
      <c r="L110" s="466"/>
      <c r="M110" s="466"/>
      <c r="N110" s="466"/>
      <c r="O110" s="275"/>
    </row>
    <row r="111" spans="1:15" s="141" customFormat="1" ht="25.2" customHeight="1" x14ac:dyDescent="0.25">
      <c r="A111" s="149"/>
      <c r="B111" s="149"/>
      <c r="C111" s="333" t="s">
        <v>1210</v>
      </c>
      <c r="D111" s="336">
        <v>171908</v>
      </c>
      <c r="E111" s="275"/>
      <c r="F111" s="275"/>
      <c r="G111" s="275"/>
      <c r="H111" s="593">
        <f>101600+táj1!H111</f>
        <v>101600</v>
      </c>
      <c r="I111" s="466"/>
      <c r="J111" s="466"/>
      <c r="K111" s="466"/>
      <c r="L111" s="466"/>
      <c r="M111" s="466"/>
      <c r="N111" s="466"/>
      <c r="O111" s="275">
        <f>SUM(E111:N111)</f>
        <v>101600</v>
      </c>
    </row>
    <row r="112" spans="1:15" s="141" customFormat="1" ht="15.75" customHeight="1" x14ac:dyDescent="0.25">
      <c r="A112" s="149"/>
      <c r="B112" s="149"/>
      <c r="C112" s="537" t="s">
        <v>291</v>
      </c>
      <c r="D112" s="330"/>
      <c r="E112" s="275"/>
      <c r="F112" s="275"/>
      <c r="G112" s="275"/>
      <c r="H112" s="466"/>
      <c r="I112" s="466"/>
      <c r="J112" s="466"/>
      <c r="K112" s="466"/>
      <c r="L112" s="466"/>
      <c r="M112" s="466"/>
      <c r="N112" s="466"/>
      <c r="O112" s="275"/>
    </row>
    <row r="113" spans="1:15" s="141" customFormat="1" ht="15.75" customHeight="1" x14ac:dyDescent="0.25">
      <c r="A113" s="149"/>
      <c r="B113" s="149"/>
      <c r="C113" s="154" t="s">
        <v>292</v>
      </c>
      <c r="D113" s="325"/>
      <c r="E113" s="275"/>
      <c r="F113" s="275"/>
      <c r="G113" s="275"/>
      <c r="H113" s="466"/>
      <c r="I113" s="466"/>
      <c r="J113" s="466"/>
      <c r="K113" s="466"/>
      <c r="L113" s="466"/>
      <c r="M113" s="466"/>
      <c r="N113" s="466"/>
      <c r="O113" s="275"/>
    </row>
    <row r="114" spans="1:15" s="141" customFormat="1" ht="24.9" customHeight="1" x14ac:dyDescent="0.25">
      <c r="A114" s="149"/>
      <c r="B114" s="149"/>
      <c r="C114" s="620" t="s">
        <v>992</v>
      </c>
      <c r="D114" s="657">
        <v>121401</v>
      </c>
      <c r="E114" s="527"/>
      <c r="F114" s="527"/>
      <c r="G114" s="527"/>
      <c r="H114" s="658"/>
      <c r="I114" s="658"/>
      <c r="J114" s="658"/>
      <c r="K114" s="527">
        <f>3000+táj1!K114</f>
        <v>3000</v>
      </c>
      <c r="L114" s="658"/>
      <c r="M114" s="658"/>
      <c r="N114" s="466"/>
      <c r="O114" s="275">
        <f>SUM(E114:N114)</f>
        <v>3000</v>
      </c>
    </row>
    <row r="115" spans="1:15" s="141" customFormat="1" ht="24" customHeight="1" x14ac:dyDescent="0.25">
      <c r="A115" s="149"/>
      <c r="B115" s="149"/>
      <c r="C115" s="620" t="s">
        <v>870</v>
      </c>
      <c r="D115" s="659"/>
      <c r="E115" s="527"/>
      <c r="F115" s="527"/>
      <c r="G115" s="527"/>
      <c r="H115" s="658"/>
      <c r="I115" s="658"/>
      <c r="J115" s="658"/>
      <c r="K115" s="658"/>
      <c r="L115" s="658"/>
      <c r="M115" s="658"/>
      <c r="N115" s="466"/>
      <c r="O115" s="275"/>
    </row>
    <row r="116" spans="1:15" s="141" customFormat="1" ht="16.5" customHeight="1" x14ac:dyDescent="0.25">
      <c r="A116" s="149"/>
      <c r="B116" s="149"/>
      <c r="C116" s="660" t="s">
        <v>293</v>
      </c>
      <c r="D116" s="657">
        <v>176902</v>
      </c>
      <c r="E116" s="527"/>
      <c r="F116" s="527"/>
      <c r="G116" s="527"/>
      <c r="H116" s="658"/>
      <c r="I116" s="658"/>
      <c r="J116" s="658"/>
      <c r="K116" s="658"/>
      <c r="L116" s="658"/>
      <c r="M116" s="527">
        <f>67093+táj1!M116</f>
        <v>67093</v>
      </c>
      <c r="N116" s="527">
        <f>110368+táj1!N116</f>
        <v>110368</v>
      </c>
      <c r="O116" s="275">
        <f>SUM(E116:N116)</f>
        <v>177461</v>
      </c>
    </row>
    <row r="117" spans="1:15" s="141" customFormat="1" ht="12.6" customHeight="1" x14ac:dyDescent="0.25">
      <c r="A117" s="155"/>
      <c r="B117" s="155"/>
      <c r="C117" s="322" t="s">
        <v>294</v>
      </c>
      <c r="D117" s="155"/>
      <c r="E117" s="323">
        <f t="shared" ref="E117:O117" si="12">SUM(E89:E116)</f>
        <v>0</v>
      </c>
      <c r="F117" s="323">
        <f t="shared" si="12"/>
        <v>0</v>
      </c>
      <c r="G117" s="323">
        <f t="shared" si="12"/>
        <v>0</v>
      </c>
      <c r="H117" s="323">
        <f t="shared" si="12"/>
        <v>703228</v>
      </c>
      <c r="I117" s="323">
        <f t="shared" si="12"/>
        <v>95500</v>
      </c>
      <c r="J117" s="323">
        <f t="shared" si="12"/>
        <v>0</v>
      </c>
      <c r="K117" s="323">
        <f t="shared" si="12"/>
        <v>3000</v>
      </c>
      <c r="L117" s="323">
        <f t="shared" si="12"/>
        <v>0</v>
      </c>
      <c r="M117" s="323">
        <f t="shared" si="12"/>
        <v>67093</v>
      </c>
      <c r="N117" s="323">
        <f t="shared" si="12"/>
        <v>110368</v>
      </c>
      <c r="O117" s="323">
        <f t="shared" si="12"/>
        <v>979189</v>
      </c>
    </row>
    <row r="118" spans="1:15" s="141" customFormat="1" ht="12.6" customHeight="1" x14ac:dyDescent="0.25">
      <c r="A118" s="156">
        <v>1</v>
      </c>
      <c r="B118" s="156">
        <v>18</v>
      </c>
      <c r="C118" s="327" t="s">
        <v>295</v>
      </c>
      <c r="D118" s="328"/>
      <c r="E118" s="337"/>
      <c r="F118" s="337"/>
      <c r="G118" s="337"/>
      <c r="H118" s="337"/>
      <c r="I118" s="337"/>
      <c r="J118" s="337"/>
      <c r="K118" s="337"/>
      <c r="L118" s="337"/>
      <c r="M118" s="337"/>
      <c r="N118" s="337"/>
      <c r="O118" s="337"/>
    </row>
    <row r="119" spans="1:15" s="141" customFormat="1" ht="24.9" customHeight="1" x14ac:dyDescent="0.25">
      <c r="A119" s="149"/>
      <c r="B119" s="149"/>
      <c r="C119" s="154" t="s">
        <v>247</v>
      </c>
      <c r="D119" s="325"/>
      <c r="E119" s="319"/>
      <c r="F119" s="319"/>
      <c r="G119" s="319"/>
      <c r="H119" s="275"/>
      <c r="I119" s="275"/>
      <c r="J119" s="275"/>
      <c r="K119" s="275"/>
      <c r="L119" s="275"/>
      <c r="M119" s="275"/>
      <c r="N119" s="275"/>
      <c r="O119" s="275"/>
    </row>
    <row r="120" spans="1:15" s="141" customFormat="1" ht="24.9" customHeight="1" x14ac:dyDescent="0.25">
      <c r="A120" s="149"/>
      <c r="B120" s="149"/>
      <c r="C120" s="154" t="s">
        <v>296</v>
      </c>
      <c r="D120" s="325" t="s">
        <v>297</v>
      </c>
      <c r="E120" s="319"/>
      <c r="F120" s="319"/>
      <c r="G120" s="319"/>
      <c r="H120" s="319">
        <f>27566+táj1!H120</f>
        <v>27566</v>
      </c>
      <c r="I120" s="473"/>
      <c r="J120" s="319"/>
      <c r="K120" s="319"/>
      <c r="L120" s="319"/>
      <c r="M120" s="319"/>
      <c r="N120" s="319"/>
      <c r="O120" s="275">
        <f t="shared" ref="O120:O125" si="13">SUM(E120:N120)</f>
        <v>27566</v>
      </c>
    </row>
    <row r="121" spans="1:15" s="141" customFormat="1" ht="12.6" customHeight="1" x14ac:dyDescent="0.25">
      <c r="A121" s="149"/>
      <c r="B121" s="149"/>
      <c r="C121" s="327" t="s">
        <v>298</v>
      </c>
      <c r="D121" s="336">
        <v>181905</v>
      </c>
      <c r="E121" s="319"/>
      <c r="F121" s="319"/>
      <c r="G121" s="319"/>
      <c r="H121" s="319">
        <f>13000+táj1!H121</f>
        <v>13000</v>
      </c>
      <c r="I121" s="473"/>
      <c r="J121" s="319"/>
      <c r="K121" s="319"/>
      <c r="L121" s="319"/>
      <c r="M121" s="319"/>
      <c r="N121" s="319"/>
      <c r="O121" s="275">
        <f t="shared" si="13"/>
        <v>13000</v>
      </c>
    </row>
    <row r="122" spans="1:15" s="141" customFormat="1" ht="15" customHeight="1" x14ac:dyDescent="0.25">
      <c r="A122" s="149"/>
      <c r="B122" s="149"/>
      <c r="C122" s="154" t="s">
        <v>299</v>
      </c>
      <c r="D122" s="325">
        <v>181903</v>
      </c>
      <c r="E122" s="319"/>
      <c r="F122" s="319"/>
      <c r="G122" s="319">
        <f>3000+táj1!G122</f>
        <v>3000</v>
      </c>
      <c r="H122" s="319"/>
      <c r="I122" s="473"/>
      <c r="J122" s="319"/>
      <c r="K122" s="319"/>
      <c r="L122" s="319"/>
      <c r="M122" s="319"/>
      <c r="N122" s="319"/>
      <c r="O122" s="275">
        <f t="shared" si="13"/>
        <v>3000</v>
      </c>
    </row>
    <row r="123" spans="1:15" s="141" customFormat="1" ht="18.600000000000001" customHeight="1" x14ac:dyDescent="0.25">
      <c r="A123" s="149"/>
      <c r="B123" s="149"/>
      <c r="C123" s="154" t="s">
        <v>300</v>
      </c>
      <c r="D123" s="325">
        <v>181904</v>
      </c>
      <c r="E123" s="319"/>
      <c r="F123" s="319"/>
      <c r="G123" s="319"/>
      <c r="H123" s="319">
        <f>200+táj1!H123</f>
        <v>200</v>
      </c>
      <c r="I123" s="473"/>
      <c r="J123" s="319"/>
      <c r="K123" s="319"/>
      <c r="L123" s="319"/>
      <c r="M123" s="319"/>
      <c r="N123" s="319"/>
      <c r="O123" s="275">
        <f t="shared" si="13"/>
        <v>200</v>
      </c>
    </row>
    <row r="124" spans="1:15" s="141" customFormat="1" ht="15" customHeight="1" x14ac:dyDescent="0.25">
      <c r="A124" s="149" t="s">
        <v>88</v>
      </c>
      <c r="B124" s="149"/>
      <c r="C124" s="327" t="s">
        <v>301</v>
      </c>
      <c r="D124" s="336">
        <v>181902</v>
      </c>
      <c r="E124" s="319"/>
      <c r="F124" s="319"/>
      <c r="G124" s="319">
        <f>0+táj1!G124</f>
        <v>26000</v>
      </c>
      <c r="H124" s="319">
        <f>26000+táj1!H124</f>
        <v>0</v>
      </c>
      <c r="I124" s="473"/>
      <c r="J124" s="319"/>
      <c r="K124" s="319"/>
      <c r="L124" s="319"/>
      <c r="M124" s="319"/>
      <c r="N124" s="319"/>
      <c r="O124" s="275">
        <f t="shared" si="13"/>
        <v>26000</v>
      </c>
    </row>
    <row r="125" spans="1:15" s="141" customFormat="1" ht="27.75" customHeight="1" x14ac:dyDescent="0.25">
      <c r="A125" s="521"/>
      <c r="B125" s="521"/>
      <c r="C125" s="528" t="s">
        <v>1110</v>
      </c>
      <c r="D125" s="529">
        <v>182912</v>
      </c>
      <c r="E125" s="535">
        <f>3278+táj1!E125</f>
        <v>3278</v>
      </c>
      <c r="F125" s="535">
        <f>64913+táj1!F125</f>
        <v>64913</v>
      </c>
      <c r="G125" s="530"/>
      <c r="H125" s="530"/>
      <c r="I125" s="531"/>
      <c r="J125" s="530"/>
      <c r="K125" s="530"/>
      <c r="L125" s="530"/>
      <c r="M125" s="530"/>
      <c r="N125" s="530"/>
      <c r="O125" s="275">
        <f t="shared" si="13"/>
        <v>68191</v>
      </c>
    </row>
    <row r="126" spans="1:15" s="141" customFormat="1" ht="14.25" customHeight="1" x14ac:dyDescent="0.25">
      <c r="A126" s="155"/>
      <c r="B126" s="155"/>
      <c r="C126" s="322" t="s">
        <v>302</v>
      </c>
      <c r="D126" s="155"/>
      <c r="E126" s="338">
        <f>SUM(E120:E125)</f>
        <v>3278</v>
      </c>
      <c r="F126" s="338">
        <f t="shared" ref="F126:O126" si="14">SUM(F120:F125)</f>
        <v>64913</v>
      </c>
      <c r="G126" s="338">
        <f t="shared" si="14"/>
        <v>29000</v>
      </c>
      <c r="H126" s="338">
        <f t="shared" si="14"/>
        <v>40766</v>
      </c>
      <c r="I126" s="338">
        <f t="shared" si="14"/>
        <v>0</v>
      </c>
      <c r="J126" s="338">
        <f t="shared" si="14"/>
        <v>0</v>
      </c>
      <c r="K126" s="338">
        <f t="shared" si="14"/>
        <v>0</v>
      </c>
      <c r="L126" s="338">
        <f t="shared" si="14"/>
        <v>0</v>
      </c>
      <c r="M126" s="338">
        <f t="shared" si="14"/>
        <v>0</v>
      </c>
      <c r="N126" s="338">
        <f t="shared" si="14"/>
        <v>0</v>
      </c>
      <c r="O126" s="338">
        <f t="shared" si="14"/>
        <v>137957</v>
      </c>
    </row>
    <row r="127" spans="1:15" s="141" customFormat="1" ht="12.6" customHeight="1" x14ac:dyDescent="0.25">
      <c r="A127" s="149">
        <v>1</v>
      </c>
      <c r="B127" s="149">
        <v>19</v>
      </c>
      <c r="C127" s="324" t="s">
        <v>87</v>
      </c>
      <c r="D127" s="156"/>
      <c r="E127" s="275"/>
      <c r="F127" s="275"/>
      <c r="G127" s="275"/>
      <c r="H127" s="275"/>
      <c r="I127" s="275"/>
      <c r="J127" s="275"/>
      <c r="K127" s="275"/>
      <c r="L127" s="275"/>
      <c r="M127" s="275"/>
      <c r="N127" s="275"/>
      <c r="O127" s="275"/>
    </row>
    <row r="128" spans="1:15" s="141" customFormat="1" ht="26.25" customHeight="1" x14ac:dyDescent="0.25">
      <c r="A128" s="149"/>
      <c r="B128" s="149"/>
      <c r="C128" s="536" t="s">
        <v>303</v>
      </c>
      <c r="D128" s="335"/>
      <c r="E128" s="275"/>
      <c r="F128" s="275"/>
      <c r="G128" s="275"/>
      <c r="H128" s="275"/>
      <c r="I128" s="275"/>
      <c r="J128" s="275"/>
      <c r="K128" s="275"/>
      <c r="L128" s="275"/>
      <c r="M128" s="275"/>
      <c r="N128" s="275"/>
      <c r="O128" s="275"/>
    </row>
    <row r="129" spans="1:16" s="141" customFormat="1" ht="18" customHeight="1" x14ac:dyDescent="0.25">
      <c r="A129" s="149"/>
      <c r="B129" s="149"/>
      <c r="C129" s="158" t="s">
        <v>306</v>
      </c>
      <c r="D129" s="326">
        <v>196919</v>
      </c>
      <c r="E129" s="319"/>
      <c r="F129" s="319"/>
      <c r="G129" s="319"/>
      <c r="H129" s="319"/>
      <c r="I129" s="319"/>
      <c r="J129" s="319"/>
      <c r="K129" s="319"/>
      <c r="L129" s="319"/>
      <c r="M129" s="319"/>
      <c r="N129" s="319">
        <f>10000000+táj1!N129</f>
        <v>10000000</v>
      </c>
      <c r="O129" s="275">
        <f>SUM(H129:N129)</f>
        <v>10000000</v>
      </c>
    </row>
    <row r="130" spans="1:16" s="141" customFormat="1" ht="24.9" customHeight="1" x14ac:dyDescent="0.25">
      <c r="A130" s="149"/>
      <c r="B130" s="149"/>
      <c r="C130" s="327" t="s">
        <v>216</v>
      </c>
      <c r="D130" s="328"/>
      <c r="E130" s="319"/>
      <c r="F130" s="319"/>
      <c r="G130" s="319"/>
      <c r="H130" s="319"/>
      <c r="I130" s="319"/>
      <c r="J130" s="319"/>
      <c r="K130" s="319"/>
      <c r="L130" s="319"/>
      <c r="M130" s="319"/>
      <c r="N130" s="319"/>
      <c r="O130" s="275"/>
    </row>
    <row r="131" spans="1:16" s="141" customFormat="1" ht="13.2" x14ac:dyDescent="0.25">
      <c r="A131" s="149" t="s">
        <v>88</v>
      </c>
      <c r="B131" s="149"/>
      <c r="C131" s="327" t="s">
        <v>304</v>
      </c>
      <c r="D131" s="326">
        <v>191102</v>
      </c>
      <c r="E131" s="319"/>
      <c r="F131" s="319"/>
      <c r="G131" s="319"/>
      <c r="H131" s="319">
        <f>3000+táj1!H131</f>
        <v>3000</v>
      </c>
      <c r="I131" s="319"/>
      <c r="J131" s="319"/>
      <c r="K131" s="319"/>
      <c r="L131" s="319"/>
      <c r="M131" s="319"/>
      <c r="N131" s="319"/>
      <c r="O131" s="275">
        <f t="shared" ref="O131:O134" si="15">SUM(E131:N131)</f>
        <v>3000</v>
      </c>
    </row>
    <row r="132" spans="1:16" s="141" customFormat="1" ht="17.25" customHeight="1" x14ac:dyDescent="0.25">
      <c r="A132" s="149"/>
      <c r="B132" s="149"/>
      <c r="C132" s="158" t="s">
        <v>305</v>
      </c>
      <c r="D132" s="326">
        <v>191103</v>
      </c>
      <c r="E132" s="319"/>
      <c r="F132" s="319"/>
      <c r="G132" s="319"/>
      <c r="H132" s="319">
        <f>106727+táj1!H132</f>
        <v>106727</v>
      </c>
      <c r="I132" s="319"/>
      <c r="J132" s="319"/>
      <c r="K132" s="319"/>
      <c r="L132" s="319"/>
      <c r="M132" s="319"/>
      <c r="N132" s="319"/>
      <c r="O132" s="275">
        <f t="shared" si="15"/>
        <v>106727</v>
      </c>
    </row>
    <row r="133" spans="1:16" s="141" customFormat="1" ht="26.4" x14ac:dyDescent="0.25">
      <c r="A133" s="149"/>
      <c r="B133" s="149"/>
      <c r="C133" s="327" t="s">
        <v>1016</v>
      </c>
      <c r="D133" s="336">
        <v>191196</v>
      </c>
      <c r="E133" s="319"/>
      <c r="F133" s="319"/>
      <c r="G133" s="319"/>
      <c r="H133" s="319"/>
      <c r="I133" s="319"/>
      <c r="J133" s="319"/>
      <c r="K133" s="319"/>
      <c r="L133" s="319"/>
      <c r="M133" s="319">
        <f>1389159+táj1!M133</f>
        <v>1389796</v>
      </c>
      <c r="N133" s="319">
        <f>1755000+táj1!N133</f>
        <v>1755000</v>
      </c>
      <c r="O133" s="527">
        <f t="shared" si="15"/>
        <v>3144796</v>
      </c>
    </row>
    <row r="134" spans="1:16" s="141" customFormat="1" ht="27.6" customHeight="1" x14ac:dyDescent="0.25">
      <c r="A134" s="149"/>
      <c r="B134" s="149"/>
      <c r="C134" s="525" t="s">
        <v>1108</v>
      </c>
      <c r="D134" s="526">
        <v>192909</v>
      </c>
      <c r="E134" s="319"/>
      <c r="F134" s="319"/>
      <c r="G134" s="319"/>
      <c r="H134" s="319"/>
      <c r="I134" s="319"/>
      <c r="J134" s="319"/>
      <c r="K134" s="319">
        <f>500+táj1!K134</f>
        <v>500</v>
      </c>
      <c r="L134" s="319"/>
      <c r="M134" s="319"/>
      <c r="N134" s="319"/>
      <c r="O134" s="527">
        <f t="shared" si="15"/>
        <v>500</v>
      </c>
      <c r="P134" s="474"/>
    </row>
    <row r="135" spans="1:16" s="141" customFormat="1" ht="24.9" customHeight="1" x14ac:dyDescent="0.25">
      <c r="A135" s="149"/>
      <c r="B135" s="149"/>
      <c r="C135" s="327" t="s">
        <v>307</v>
      </c>
      <c r="D135" s="328"/>
      <c r="E135" s="319"/>
      <c r="F135" s="319"/>
      <c r="G135" s="319"/>
      <c r="H135" s="319"/>
      <c r="I135" s="319"/>
      <c r="J135" s="319"/>
      <c r="K135" s="319"/>
      <c r="L135" s="319"/>
      <c r="M135" s="319"/>
      <c r="N135" s="319"/>
      <c r="O135" s="275"/>
    </row>
    <row r="136" spans="1:16" s="141" customFormat="1" ht="26.4" x14ac:dyDescent="0.25">
      <c r="A136" s="149"/>
      <c r="B136" s="149"/>
      <c r="C136" s="154" t="s">
        <v>881</v>
      </c>
      <c r="D136" s="325">
        <v>191901</v>
      </c>
      <c r="E136" s="319">
        <f>4289558+táj1!E136</f>
        <v>4859310</v>
      </c>
      <c r="F136" s="473"/>
      <c r="G136" s="473"/>
      <c r="H136" s="473"/>
      <c r="I136" s="319"/>
      <c r="J136" s="319"/>
      <c r="K136" s="319"/>
      <c r="L136" s="319"/>
      <c r="M136" s="319"/>
      <c r="N136" s="319"/>
      <c r="O136" s="275">
        <f t="shared" ref="O136:O139" si="16">SUM(E136:N136)</f>
        <v>4859310</v>
      </c>
    </row>
    <row r="137" spans="1:16" s="141" customFormat="1" ht="26.4" x14ac:dyDescent="0.25">
      <c r="A137" s="149"/>
      <c r="B137" s="149"/>
      <c r="C137" s="154" t="s">
        <v>1017</v>
      </c>
      <c r="D137" s="325">
        <v>191901</v>
      </c>
      <c r="E137" s="319">
        <f>365380+táj1!E137</f>
        <v>0</v>
      </c>
      <c r="F137" s="473"/>
      <c r="G137" s="473"/>
      <c r="H137" s="473"/>
      <c r="I137" s="319"/>
      <c r="J137" s="319"/>
      <c r="K137" s="319"/>
      <c r="L137" s="319"/>
      <c r="M137" s="319"/>
      <c r="N137" s="319"/>
      <c r="O137" s="275">
        <f t="shared" si="16"/>
        <v>0</v>
      </c>
    </row>
    <row r="138" spans="1:16" s="141" customFormat="1" ht="25.95" customHeight="1" x14ac:dyDescent="0.25">
      <c r="A138" s="149"/>
      <c r="B138" s="149"/>
      <c r="C138" s="154" t="s">
        <v>1018</v>
      </c>
      <c r="D138" s="325">
        <v>191901</v>
      </c>
      <c r="E138" s="319">
        <f>100000+táj1!E138</f>
        <v>100000</v>
      </c>
      <c r="F138" s="473"/>
      <c r="G138" s="473"/>
      <c r="H138" s="473"/>
      <c r="I138" s="319"/>
      <c r="J138" s="319"/>
      <c r="K138" s="319"/>
      <c r="L138" s="319"/>
      <c r="M138" s="319"/>
      <c r="N138" s="319"/>
      <c r="O138" s="275">
        <f t="shared" si="16"/>
        <v>100000</v>
      </c>
    </row>
    <row r="139" spans="1:16" s="141" customFormat="1" ht="18" customHeight="1" x14ac:dyDescent="0.25">
      <c r="A139" s="149"/>
      <c r="B139" s="149"/>
      <c r="C139" s="154" t="s">
        <v>1226</v>
      </c>
      <c r="D139" s="325">
        <v>191901</v>
      </c>
      <c r="E139" s="319">
        <f>400000+táj1!E139</f>
        <v>400000</v>
      </c>
      <c r="F139" s="473"/>
      <c r="G139" s="473"/>
      <c r="H139" s="473"/>
      <c r="I139" s="319"/>
      <c r="J139" s="319"/>
      <c r="K139" s="319"/>
      <c r="L139" s="319"/>
      <c r="M139" s="319"/>
      <c r="N139" s="319"/>
      <c r="O139" s="275">
        <f t="shared" si="16"/>
        <v>400000</v>
      </c>
    </row>
    <row r="140" spans="1:16" s="141" customFormat="1" ht="28.5" customHeight="1" x14ac:dyDescent="0.25">
      <c r="A140" s="149"/>
      <c r="B140" s="149"/>
      <c r="C140" s="327" t="s">
        <v>308</v>
      </c>
      <c r="D140" s="328"/>
      <c r="E140" s="319"/>
      <c r="F140" s="473"/>
      <c r="G140" s="473"/>
      <c r="H140" s="473"/>
      <c r="I140" s="319"/>
      <c r="J140" s="319"/>
      <c r="K140" s="319"/>
      <c r="L140" s="319"/>
      <c r="M140" s="319"/>
      <c r="N140" s="319"/>
      <c r="O140" s="275"/>
    </row>
    <row r="141" spans="1:16" s="141" customFormat="1" ht="14.1" customHeight="1" x14ac:dyDescent="0.25">
      <c r="A141" s="149"/>
      <c r="B141" s="149"/>
      <c r="C141" s="158" t="s">
        <v>309</v>
      </c>
      <c r="D141" s="326">
        <v>191907</v>
      </c>
      <c r="E141" s="319"/>
      <c r="F141" s="319"/>
      <c r="G141" s="319">
        <f>3800000+táj1!G141</f>
        <v>3800000</v>
      </c>
      <c r="H141" s="473"/>
      <c r="I141" s="319"/>
      <c r="J141" s="319"/>
      <c r="K141" s="319"/>
      <c r="L141" s="319"/>
      <c r="M141" s="319"/>
      <c r="N141" s="319"/>
      <c r="O141" s="275">
        <f t="shared" ref="O141:O145" si="17">SUM(E141:N141)</f>
        <v>3800000</v>
      </c>
    </row>
    <row r="142" spans="1:16" s="141" customFormat="1" ht="14.1" customHeight="1" x14ac:dyDescent="0.25">
      <c r="A142" s="149"/>
      <c r="B142" s="149"/>
      <c r="C142" s="158" t="s">
        <v>310</v>
      </c>
      <c r="D142" s="326">
        <v>191907</v>
      </c>
      <c r="E142" s="319"/>
      <c r="F142" s="319"/>
      <c r="G142" s="319">
        <f>6000+táj1!G142</f>
        <v>6000</v>
      </c>
      <c r="H142" s="473"/>
      <c r="I142" s="319"/>
      <c r="J142" s="319"/>
      <c r="K142" s="319"/>
      <c r="L142" s="319"/>
      <c r="M142" s="319"/>
      <c r="N142" s="319"/>
      <c r="O142" s="275">
        <f t="shared" si="17"/>
        <v>6000</v>
      </c>
    </row>
    <row r="143" spans="1:16" s="141" customFormat="1" ht="14.1" customHeight="1" x14ac:dyDescent="0.25">
      <c r="A143" s="149"/>
      <c r="B143" s="149"/>
      <c r="C143" s="158" t="s">
        <v>311</v>
      </c>
      <c r="D143" s="326">
        <v>191907</v>
      </c>
      <c r="E143" s="319"/>
      <c r="F143" s="319"/>
      <c r="G143" s="319">
        <f>1100000+táj1!G143</f>
        <v>1100000</v>
      </c>
      <c r="H143" s="473"/>
      <c r="I143" s="319"/>
      <c r="J143" s="319"/>
      <c r="K143" s="319"/>
      <c r="L143" s="319"/>
      <c r="M143" s="319"/>
      <c r="N143" s="319"/>
      <c r="O143" s="275">
        <f t="shared" si="17"/>
        <v>1100000</v>
      </c>
    </row>
    <row r="144" spans="1:16" s="141" customFormat="1" ht="14.1" customHeight="1" x14ac:dyDescent="0.25">
      <c r="A144" s="149"/>
      <c r="B144" s="149"/>
      <c r="C144" s="158" t="s">
        <v>312</v>
      </c>
      <c r="D144" s="326">
        <v>191907</v>
      </c>
      <c r="E144" s="319"/>
      <c r="F144" s="319"/>
      <c r="G144" s="319">
        <f>24000+táj1!G144</f>
        <v>24000</v>
      </c>
      <c r="H144" s="473"/>
      <c r="I144" s="319"/>
      <c r="J144" s="319"/>
      <c r="K144" s="319"/>
      <c r="L144" s="319"/>
      <c r="M144" s="319"/>
      <c r="N144" s="319"/>
      <c r="O144" s="275">
        <f t="shared" si="17"/>
        <v>24000</v>
      </c>
    </row>
    <row r="145" spans="1:15" s="141" customFormat="1" ht="14.1" customHeight="1" x14ac:dyDescent="0.25">
      <c r="A145" s="149"/>
      <c r="B145" s="149"/>
      <c r="C145" s="158" t="s">
        <v>1019</v>
      </c>
      <c r="D145" s="326">
        <v>191907</v>
      </c>
      <c r="E145" s="319"/>
      <c r="F145" s="319"/>
      <c r="G145" s="319">
        <f>30000+táj1!G145</f>
        <v>30000</v>
      </c>
      <c r="H145" s="473"/>
      <c r="I145" s="319"/>
      <c r="J145" s="319"/>
      <c r="K145" s="319"/>
      <c r="L145" s="319"/>
      <c r="M145" s="319"/>
      <c r="N145" s="319"/>
      <c r="O145" s="275">
        <f t="shared" si="17"/>
        <v>30000</v>
      </c>
    </row>
    <row r="146" spans="1:15" s="141" customFormat="1" ht="24.75" customHeight="1" x14ac:dyDescent="0.25">
      <c r="A146" s="149"/>
      <c r="B146" s="149"/>
      <c r="C146" s="154" t="s">
        <v>313</v>
      </c>
      <c r="D146" s="325"/>
      <c r="E146" s="319"/>
      <c r="F146" s="319"/>
      <c r="G146" s="319"/>
      <c r="H146" s="473"/>
      <c r="I146" s="319"/>
      <c r="J146" s="319"/>
      <c r="K146" s="319"/>
      <c r="L146" s="319"/>
      <c r="M146" s="319"/>
      <c r="N146" s="319"/>
      <c r="O146" s="275"/>
    </row>
    <row r="147" spans="1:15" s="141" customFormat="1" ht="36.75" customHeight="1" x14ac:dyDescent="0.25">
      <c r="A147" s="149"/>
      <c r="B147" s="149"/>
      <c r="C147" s="152" t="s">
        <v>314</v>
      </c>
      <c r="D147" s="325">
        <v>191158</v>
      </c>
      <c r="E147" s="319">
        <f>18000+táj1!E147</f>
        <v>18000</v>
      </c>
      <c r="F147" s="319"/>
      <c r="G147" s="319"/>
      <c r="H147" s="473"/>
      <c r="I147" s="319"/>
      <c r="J147" s="319"/>
      <c r="K147" s="319"/>
      <c r="L147" s="319"/>
      <c r="M147" s="319"/>
      <c r="N147" s="319"/>
      <c r="O147" s="275">
        <f>SUM(E147:N147)</f>
        <v>18000</v>
      </c>
    </row>
    <row r="148" spans="1:15" s="141" customFormat="1" ht="15" customHeight="1" x14ac:dyDescent="0.25">
      <c r="A148" s="149"/>
      <c r="B148" s="149"/>
      <c r="C148" s="152" t="s">
        <v>315</v>
      </c>
      <c r="D148" s="325"/>
      <c r="E148" s="319"/>
      <c r="F148" s="319"/>
      <c r="G148" s="319"/>
      <c r="H148" s="473"/>
      <c r="I148" s="319"/>
      <c r="J148" s="319"/>
      <c r="K148" s="319"/>
      <c r="L148" s="319"/>
      <c r="M148" s="319"/>
      <c r="N148" s="319"/>
      <c r="O148" s="275"/>
    </row>
    <row r="149" spans="1:15" s="141" customFormat="1" ht="24.9" customHeight="1" x14ac:dyDescent="0.25">
      <c r="A149" s="149"/>
      <c r="B149" s="149"/>
      <c r="C149" s="327" t="s">
        <v>316</v>
      </c>
      <c r="D149" s="336">
        <v>191906</v>
      </c>
      <c r="E149" s="319">
        <f>12700+táj1!E149</f>
        <v>12700</v>
      </c>
      <c r="F149" s="319"/>
      <c r="G149" s="319"/>
      <c r="H149" s="473"/>
      <c r="I149" s="319"/>
      <c r="J149" s="319"/>
      <c r="K149" s="319"/>
      <c r="L149" s="319"/>
      <c r="M149" s="319"/>
      <c r="N149" s="319"/>
      <c r="O149" s="275">
        <f t="shared" ref="O149:O151" si="18">SUM(E149:N149)</f>
        <v>12700</v>
      </c>
    </row>
    <row r="150" spans="1:15" s="141" customFormat="1" ht="24.9" customHeight="1" x14ac:dyDescent="0.25">
      <c r="A150" s="745"/>
      <c r="B150" s="745"/>
      <c r="C150" s="681" t="s">
        <v>225</v>
      </c>
      <c r="D150" s="749"/>
      <c r="E150" s="319"/>
      <c r="F150" s="750"/>
      <c r="G150" s="750"/>
      <c r="H150" s="751"/>
      <c r="I150" s="750"/>
      <c r="J150" s="750"/>
      <c r="K150" s="750"/>
      <c r="L150" s="750"/>
      <c r="M150" s="750"/>
      <c r="N150" s="750"/>
      <c r="O150" s="275"/>
    </row>
    <row r="151" spans="1:15" s="141" customFormat="1" ht="24.9" customHeight="1" x14ac:dyDescent="0.25">
      <c r="A151" s="745"/>
      <c r="B151" s="745"/>
      <c r="C151" s="752" t="s">
        <v>1292</v>
      </c>
      <c r="D151" s="753">
        <v>191193</v>
      </c>
      <c r="E151" s="319"/>
      <c r="F151" s="319"/>
      <c r="G151" s="319"/>
      <c r="H151" s="319"/>
      <c r="I151" s="319"/>
      <c r="J151" s="319">
        <f>0+táj1!J151</f>
        <v>8700</v>
      </c>
      <c r="K151" s="750"/>
      <c r="L151" s="750"/>
      <c r="M151" s="750"/>
      <c r="N151" s="750"/>
      <c r="O151" s="275">
        <f t="shared" si="18"/>
        <v>8700</v>
      </c>
    </row>
    <row r="152" spans="1:15" s="141" customFormat="1" ht="15.75" customHeight="1" x14ac:dyDescent="0.25">
      <c r="A152" s="160"/>
      <c r="B152" s="155"/>
      <c r="C152" s="322" t="s">
        <v>317</v>
      </c>
      <c r="D152" s="155"/>
      <c r="E152" s="323">
        <f>SUM(E128:E151)</f>
        <v>5390010</v>
      </c>
      <c r="F152" s="323">
        <f t="shared" ref="F152:O152" si="19">SUM(F128:F151)</f>
        <v>0</v>
      </c>
      <c r="G152" s="323">
        <f t="shared" si="19"/>
        <v>4960000</v>
      </c>
      <c r="H152" s="323">
        <f t="shared" si="19"/>
        <v>109727</v>
      </c>
      <c r="I152" s="323">
        <f t="shared" si="19"/>
        <v>0</v>
      </c>
      <c r="J152" s="323">
        <f t="shared" si="19"/>
        <v>8700</v>
      </c>
      <c r="K152" s="323">
        <f t="shared" si="19"/>
        <v>500</v>
      </c>
      <c r="L152" s="323">
        <f t="shared" si="19"/>
        <v>0</v>
      </c>
      <c r="M152" s="323">
        <f t="shared" si="19"/>
        <v>1389796</v>
      </c>
      <c r="N152" s="323">
        <f t="shared" si="19"/>
        <v>11755000</v>
      </c>
      <c r="O152" s="323">
        <f t="shared" si="19"/>
        <v>23613733</v>
      </c>
    </row>
    <row r="153" spans="1:15" s="141" customFormat="1" ht="17.100000000000001" customHeight="1" x14ac:dyDescent="0.25">
      <c r="A153" s="149">
        <v>1</v>
      </c>
      <c r="B153" s="156">
        <v>22</v>
      </c>
      <c r="C153" s="324" t="s">
        <v>9</v>
      </c>
      <c r="D153" s="156"/>
      <c r="E153" s="337"/>
      <c r="F153" s="337"/>
      <c r="G153" s="337"/>
      <c r="H153" s="337"/>
      <c r="I153" s="337"/>
      <c r="J153" s="337"/>
      <c r="K153" s="337"/>
      <c r="L153" s="337"/>
      <c r="M153" s="337"/>
      <c r="N153" s="337"/>
      <c r="O153" s="337"/>
    </row>
    <row r="154" spans="1:15" s="141" customFormat="1" ht="17.100000000000001" customHeight="1" x14ac:dyDescent="0.25">
      <c r="A154" s="745"/>
      <c r="B154" s="754"/>
      <c r="C154" s="681" t="s">
        <v>225</v>
      </c>
      <c r="D154" s="754"/>
      <c r="E154" s="755"/>
      <c r="F154" s="755"/>
      <c r="G154" s="755"/>
      <c r="H154" s="755"/>
      <c r="I154" s="755"/>
      <c r="J154" s="755"/>
      <c r="K154" s="755"/>
      <c r="L154" s="755"/>
      <c r="M154" s="755"/>
      <c r="N154" s="755"/>
      <c r="O154" s="755"/>
    </row>
    <row r="155" spans="1:15" s="141" customFormat="1" ht="17.100000000000001" customHeight="1" x14ac:dyDescent="0.25">
      <c r="A155" s="521"/>
      <c r="B155" s="522"/>
      <c r="C155" s="756" t="s">
        <v>1293</v>
      </c>
      <c r="D155" s="745">
        <v>222929</v>
      </c>
      <c r="E155" s="523"/>
      <c r="F155" s="523"/>
      <c r="G155" s="523"/>
      <c r="H155" s="524"/>
      <c r="I155" s="524">
        <f>0+táj1!I155</f>
        <v>4840</v>
      </c>
      <c r="J155" s="524"/>
      <c r="K155" s="524"/>
      <c r="L155" s="524"/>
      <c r="M155" s="524"/>
      <c r="N155" s="524"/>
      <c r="O155" s="524">
        <f>SUM(E155:N155)</f>
        <v>4840</v>
      </c>
    </row>
    <row r="156" spans="1:15" s="141" customFormat="1" ht="17.100000000000001" customHeight="1" x14ac:dyDescent="0.25">
      <c r="A156" s="160"/>
      <c r="B156" s="155"/>
      <c r="C156" s="322" t="s">
        <v>318</v>
      </c>
      <c r="D156" s="155"/>
      <c r="E156" s="323">
        <f>SUM(E153:E153)</f>
        <v>0</v>
      </c>
      <c r="F156" s="323">
        <f>SUM(F153:F153)</f>
        <v>0</v>
      </c>
      <c r="G156" s="323">
        <f>SUM(G153:G153)</f>
        <v>0</v>
      </c>
      <c r="H156" s="323">
        <f>SUM(H155)</f>
        <v>0</v>
      </c>
      <c r="I156" s="323">
        <f t="shared" ref="I156:N156" si="20">SUM(I155)</f>
        <v>4840</v>
      </c>
      <c r="J156" s="323">
        <f t="shared" si="20"/>
        <v>0</v>
      </c>
      <c r="K156" s="323">
        <f t="shared" si="20"/>
        <v>0</v>
      </c>
      <c r="L156" s="323">
        <f t="shared" si="20"/>
        <v>0</v>
      </c>
      <c r="M156" s="323">
        <f t="shared" si="20"/>
        <v>0</v>
      </c>
      <c r="N156" s="323">
        <f t="shared" si="20"/>
        <v>0</v>
      </c>
      <c r="O156" s="323">
        <f>SUM(O155)</f>
        <v>4840</v>
      </c>
    </row>
    <row r="157" spans="1:15" s="141" customFormat="1" ht="24.9" customHeight="1" x14ac:dyDescent="0.25">
      <c r="A157" s="155"/>
      <c r="B157" s="155"/>
      <c r="C157" s="161" t="s">
        <v>12</v>
      </c>
      <c r="D157" s="339"/>
      <c r="E157" s="323">
        <f t="shared" ref="E157:O157" si="21">SUM(E8+E19+E24+E38+E88+E117+E126+E152+E156)</f>
        <v>6893074</v>
      </c>
      <c r="F157" s="323">
        <f t="shared" si="21"/>
        <v>14675772</v>
      </c>
      <c r="G157" s="323">
        <f t="shared" si="21"/>
        <v>4989000</v>
      </c>
      <c r="H157" s="323">
        <f t="shared" si="21"/>
        <v>3377162</v>
      </c>
      <c r="I157" s="323">
        <f t="shared" si="21"/>
        <v>100340</v>
      </c>
      <c r="J157" s="323">
        <f t="shared" si="21"/>
        <v>8700</v>
      </c>
      <c r="K157" s="323">
        <f t="shared" si="21"/>
        <v>4009</v>
      </c>
      <c r="L157" s="323">
        <f t="shared" si="21"/>
        <v>0</v>
      </c>
      <c r="M157" s="323">
        <f t="shared" si="21"/>
        <v>6889639</v>
      </c>
      <c r="N157" s="323">
        <f t="shared" si="21"/>
        <v>23709328</v>
      </c>
      <c r="O157" s="323">
        <f t="shared" si="21"/>
        <v>60647024</v>
      </c>
    </row>
    <row r="158" spans="1:15" s="141" customFormat="1" ht="15.9" customHeight="1" x14ac:dyDescent="0.25">
      <c r="A158" s="149">
        <v>2</v>
      </c>
      <c r="B158" s="149"/>
      <c r="C158" s="340" t="s">
        <v>183</v>
      </c>
      <c r="D158" s="341"/>
      <c r="E158" s="275">
        <f>'9'!F22</f>
        <v>1110080</v>
      </c>
      <c r="F158" s="275">
        <f>'9'!G22</f>
        <v>0</v>
      </c>
      <c r="G158" s="275">
        <f>'9'!H22</f>
        <v>0</v>
      </c>
      <c r="H158" s="275">
        <f>'9'!I22</f>
        <v>1536389</v>
      </c>
      <c r="I158" s="275">
        <f>'9'!J22</f>
        <v>0</v>
      </c>
      <c r="J158" s="275">
        <f>'9'!K22</f>
        <v>0</v>
      </c>
      <c r="K158" s="275">
        <f>'9'!L22</f>
        <v>0</v>
      </c>
      <c r="L158" s="275"/>
      <c r="M158" s="275">
        <f>'9'!M22</f>
        <v>603462</v>
      </c>
      <c r="N158" s="275"/>
      <c r="O158" s="275">
        <f>SUM(E158:N158)</f>
        <v>3249931</v>
      </c>
    </row>
    <row r="159" spans="1:15" s="141" customFormat="1" ht="15.9" customHeight="1" x14ac:dyDescent="0.25">
      <c r="A159" s="155"/>
      <c r="B159" s="155"/>
      <c r="C159" s="342" t="s">
        <v>173</v>
      </c>
      <c r="D159" s="155"/>
      <c r="E159" s="323">
        <f>SUM(E157:E158)</f>
        <v>8003154</v>
      </c>
      <c r="F159" s="323">
        <f>SUM(F157:F158)</f>
        <v>14675772</v>
      </c>
      <c r="G159" s="323">
        <f t="shared" ref="G159:O159" si="22">SUM(G157:G158)</f>
        <v>4989000</v>
      </c>
      <c r="H159" s="323">
        <f t="shared" si="22"/>
        <v>4913551</v>
      </c>
      <c r="I159" s="323">
        <f t="shared" si="22"/>
        <v>100340</v>
      </c>
      <c r="J159" s="323">
        <f t="shared" si="22"/>
        <v>8700</v>
      </c>
      <c r="K159" s="323">
        <f t="shared" si="22"/>
        <v>4009</v>
      </c>
      <c r="L159" s="323">
        <f t="shared" si="22"/>
        <v>0</v>
      </c>
      <c r="M159" s="323">
        <f t="shared" si="22"/>
        <v>7493101</v>
      </c>
      <c r="N159" s="323">
        <f t="shared" si="22"/>
        <v>23709328</v>
      </c>
      <c r="O159" s="323">
        <f t="shared" si="22"/>
        <v>63896955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2022.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I15" sqref="I15"/>
      <selection pane="bottomLeft" activeCell="I14" sqref="I14:J14"/>
    </sheetView>
  </sheetViews>
  <sheetFormatPr defaultColWidth="9.33203125" defaultRowHeight="11.4" x14ac:dyDescent="0.2"/>
  <cols>
    <col min="1" max="1" width="4.33203125" style="19" customWidth="1"/>
    <col min="2" max="2" width="7" style="19" customWidth="1"/>
    <col min="3" max="3" width="23.6640625" style="19" customWidth="1"/>
    <col min="4" max="4" width="10.6640625" style="19" customWidth="1"/>
    <col min="5" max="5" width="11.77734375" style="19" customWidth="1"/>
    <col min="6" max="6" width="10.44140625" style="19" customWidth="1"/>
    <col min="7" max="7" width="9.77734375" style="19" customWidth="1"/>
    <col min="8" max="8" width="10.44140625" style="19" customWidth="1"/>
    <col min="9" max="9" width="10.77734375" style="19" customWidth="1"/>
    <col min="10" max="10" width="10.6640625" style="19" customWidth="1"/>
    <col min="11" max="11" width="9.44140625" style="19" customWidth="1"/>
    <col min="12" max="12" width="11.33203125" style="19" customWidth="1"/>
    <col min="13" max="13" width="11.77734375" style="19" customWidth="1"/>
    <col min="14" max="14" width="12" style="31" customWidth="1"/>
    <col min="15" max="16384" width="9.33203125" style="19"/>
  </cols>
  <sheetData>
    <row r="1" spans="1:14" ht="12.75" customHeight="1" x14ac:dyDescent="0.25">
      <c r="A1" s="843" t="s">
        <v>89</v>
      </c>
      <c r="B1" s="843" t="s">
        <v>90</v>
      </c>
      <c r="C1" s="843" t="s">
        <v>128</v>
      </c>
      <c r="D1" s="842" t="s">
        <v>134</v>
      </c>
      <c r="E1" s="842"/>
      <c r="F1" s="842"/>
      <c r="G1" s="842"/>
      <c r="H1" s="842"/>
      <c r="I1" s="842"/>
      <c r="J1" s="842"/>
      <c r="K1" s="842"/>
      <c r="L1" s="842" t="s">
        <v>133</v>
      </c>
      <c r="M1" s="842"/>
      <c r="N1" s="843" t="s">
        <v>181</v>
      </c>
    </row>
    <row r="2" spans="1:14" s="28" customFormat="1" ht="60" customHeight="1" x14ac:dyDescent="0.25">
      <c r="A2" s="843"/>
      <c r="B2" s="843"/>
      <c r="C2" s="843"/>
      <c r="D2" s="99" t="s">
        <v>113</v>
      </c>
      <c r="E2" s="99" t="s">
        <v>198</v>
      </c>
      <c r="F2" s="99" t="s">
        <v>192</v>
      </c>
      <c r="G2" s="99" t="s">
        <v>17</v>
      </c>
      <c r="H2" s="99" t="s">
        <v>24</v>
      </c>
      <c r="I2" s="99" t="s">
        <v>22</v>
      </c>
      <c r="J2" s="99" t="s">
        <v>21</v>
      </c>
      <c r="K2" s="99" t="s">
        <v>18</v>
      </c>
      <c r="L2" s="99" t="s">
        <v>138</v>
      </c>
      <c r="M2" s="99" t="s">
        <v>140</v>
      </c>
      <c r="N2" s="843"/>
    </row>
    <row r="3" spans="1:14" s="28" customFormat="1" ht="15" customHeight="1" x14ac:dyDescent="0.25">
      <c r="A3" s="2">
        <v>1</v>
      </c>
      <c r="B3" s="2"/>
      <c r="C3" s="57" t="s">
        <v>182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8" customFormat="1" ht="15" customHeight="1" x14ac:dyDescent="0.25">
      <c r="A4" s="2">
        <v>1</v>
      </c>
      <c r="B4" s="2">
        <v>1</v>
      </c>
      <c r="C4" s="7" t="s">
        <v>5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9" customFormat="1" ht="24.9" customHeight="1" x14ac:dyDescent="0.25">
      <c r="A5" s="4"/>
      <c r="B5" s="4">
        <v>12</v>
      </c>
      <c r="C5" s="109" t="s">
        <v>101</v>
      </c>
      <c r="D5" s="59">
        <f>'8'!G46</f>
        <v>150</v>
      </c>
      <c r="E5" s="59">
        <f>'8'!H46</f>
        <v>4750</v>
      </c>
      <c r="F5" s="59">
        <f>'8'!I46</f>
        <v>32914</v>
      </c>
      <c r="G5" s="59">
        <f>'8'!J46</f>
        <v>90976</v>
      </c>
      <c r="H5" s="59">
        <f>'8'!K46</f>
        <v>3100</v>
      </c>
      <c r="I5" s="59">
        <f>'8'!L46</f>
        <v>0</v>
      </c>
      <c r="J5" s="59">
        <f>'8'!M46</f>
        <v>0</v>
      </c>
      <c r="K5" s="59">
        <f>'8'!N46</f>
        <v>27219</v>
      </c>
      <c r="L5" s="59">
        <f>'8'!O46</f>
        <v>0</v>
      </c>
      <c r="M5" s="59">
        <f>'8'!P46</f>
        <v>0</v>
      </c>
      <c r="N5" s="5">
        <f>SUM(D5:M5)</f>
        <v>159109</v>
      </c>
    </row>
    <row r="6" spans="1:14" s="29" customFormat="1" ht="14.1" customHeight="1" x14ac:dyDescent="0.25">
      <c r="A6" s="4"/>
      <c r="B6" s="4">
        <v>13</v>
      </c>
      <c r="C6" s="57" t="s">
        <v>102</v>
      </c>
      <c r="D6" s="59">
        <f>'8'!G219</f>
        <v>4405</v>
      </c>
      <c r="E6" s="59">
        <f>'8'!H219</f>
        <v>1494</v>
      </c>
      <c r="F6" s="59">
        <f>'8'!I219</f>
        <v>53023</v>
      </c>
      <c r="G6" s="59">
        <f>'8'!J219</f>
        <v>6100</v>
      </c>
      <c r="H6" s="59">
        <f>'8'!K219</f>
        <v>1340909</v>
      </c>
      <c r="I6" s="59">
        <f>'8'!L219</f>
        <v>83038</v>
      </c>
      <c r="J6" s="59">
        <f>'8'!M219</f>
        <v>56665</v>
      </c>
      <c r="K6" s="59">
        <f>'8'!N219</f>
        <v>21650</v>
      </c>
      <c r="L6" s="59">
        <f>'8'!O219</f>
        <v>0</v>
      </c>
      <c r="M6" s="59">
        <f>'8'!P219</f>
        <v>0</v>
      </c>
      <c r="N6" s="5">
        <f t="shared" ref="N6:N14" si="0">SUM(D6:M6)</f>
        <v>1567284</v>
      </c>
    </row>
    <row r="7" spans="1:14" s="29" customFormat="1" ht="14.1" customHeight="1" x14ac:dyDescent="0.25">
      <c r="A7" s="4"/>
      <c r="B7" s="4">
        <v>14</v>
      </c>
      <c r="C7" s="57" t="s">
        <v>184</v>
      </c>
      <c r="D7" s="59">
        <f>'8'!G231</f>
        <v>0</v>
      </c>
      <c r="E7" s="59">
        <f>'8'!H231</f>
        <v>0</v>
      </c>
      <c r="F7" s="59">
        <f>'8'!I231</f>
        <v>8842</v>
      </c>
      <c r="G7" s="59">
        <f>'8'!J231</f>
        <v>0</v>
      </c>
      <c r="H7" s="59">
        <f>'8'!K231</f>
        <v>0</v>
      </c>
      <c r="I7" s="59">
        <f>'8'!L231</f>
        <v>19903</v>
      </c>
      <c r="J7" s="59">
        <f>'8'!M231</f>
        <v>0</v>
      </c>
      <c r="K7" s="59">
        <f>'8'!N231</f>
        <v>6151</v>
      </c>
      <c r="L7" s="59">
        <f>'8'!O231</f>
        <v>0</v>
      </c>
      <c r="M7" s="59">
        <f>'8'!P231</f>
        <v>0</v>
      </c>
      <c r="N7" s="5">
        <f t="shared" si="0"/>
        <v>34896</v>
      </c>
    </row>
    <row r="8" spans="1:14" s="29" customFormat="1" ht="14.1" customHeight="1" x14ac:dyDescent="0.25">
      <c r="A8" s="4"/>
      <c r="B8" s="4">
        <v>15</v>
      </c>
      <c r="C8" s="64" t="s">
        <v>131</v>
      </c>
      <c r="D8" s="59">
        <f>'8'!G459</f>
        <v>8930</v>
      </c>
      <c r="E8" s="59">
        <f>'8'!H459</f>
        <v>1200</v>
      </c>
      <c r="F8" s="59">
        <f>'8'!I459</f>
        <v>1973676</v>
      </c>
      <c r="G8" s="59">
        <f>'8'!J459</f>
        <v>0</v>
      </c>
      <c r="H8" s="59">
        <f>'8'!K459</f>
        <v>637320</v>
      </c>
      <c r="I8" s="59">
        <f>'8'!L459</f>
        <v>250793</v>
      </c>
      <c r="J8" s="59">
        <f>'8'!M459</f>
        <v>246903</v>
      </c>
      <c r="K8" s="59">
        <f>'8'!N459</f>
        <v>2000</v>
      </c>
      <c r="L8" s="59">
        <f>'8'!O459</f>
        <v>0</v>
      </c>
      <c r="M8" s="59">
        <f>'8'!P459</f>
        <v>0</v>
      </c>
      <c r="N8" s="5">
        <f t="shared" si="0"/>
        <v>3120822</v>
      </c>
    </row>
    <row r="9" spans="1:14" s="29" customFormat="1" ht="14.1" customHeight="1" x14ac:dyDescent="0.25">
      <c r="A9" s="4"/>
      <c r="B9" s="4">
        <v>16</v>
      </c>
      <c r="C9" s="64" t="s">
        <v>120</v>
      </c>
      <c r="D9" s="59">
        <f>'8'!G594</f>
        <v>34044</v>
      </c>
      <c r="E9" s="59">
        <f>'8'!H594</f>
        <v>6879</v>
      </c>
      <c r="F9" s="59">
        <f>'8'!I594</f>
        <v>5282800</v>
      </c>
      <c r="G9" s="59">
        <f>'8'!J594</f>
        <v>0</v>
      </c>
      <c r="H9" s="59">
        <f>'8'!K594</f>
        <v>3650</v>
      </c>
      <c r="I9" s="59">
        <f>'8'!L594</f>
        <v>23161908</v>
      </c>
      <c r="J9" s="59">
        <f>'8'!M594</f>
        <v>6956586</v>
      </c>
      <c r="K9" s="59">
        <f>'8'!N594</f>
        <v>8435</v>
      </c>
      <c r="L9" s="59">
        <f>'8'!O594</f>
        <v>0</v>
      </c>
      <c r="M9" s="59">
        <f>'8'!P594</f>
        <v>0</v>
      </c>
      <c r="N9" s="5">
        <f t="shared" si="0"/>
        <v>35454302</v>
      </c>
    </row>
    <row r="10" spans="1:14" s="29" customFormat="1" ht="14.1" customHeight="1" x14ac:dyDescent="0.25">
      <c r="A10" s="4"/>
      <c r="B10" s="4">
        <v>17</v>
      </c>
      <c r="C10" s="64" t="s">
        <v>132</v>
      </c>
      <c r="D10" s="59">
        <f>'8'!G616</f>
        <v>0</v>
      </c>
      <c r="E10" s="59">
        <f>'8'!H616</f>
        <v>0</v>
      </c>
      <c r="F10" s="59">
        <f>'8'!I616</f>
        <v>83793</v>
      </c>
      <c r="G10" s="59">
        <f>'8'!J616</f>
        <v>0</v>
      </c>
      <c r="H10" s="59">
        <f>'8'!K616</f>
        <v>0</v>
      </c>
      <c r="I10" s="59">
        <f>'8'!L616</f>
        <v>31043</v>
      </c>
      <c r="J10" s="59">
        <f>'8'!M616</f>
        <v>0</v>
      </c>
      <c r="K10" s="59">
        <f>'8'!N616</f>
        <v>38000</v>
      </c>
      <c r="L10" s="59">
        <f>'8'!O616</f>
        <v>0</v>
      </c>
      <c r="M10" s="59">
        <f>'8'!P616</f>
        <v>0</v>
      </c>
      <c r="N10" s="5">
        <f t="shared" si="0"/>
        <v>152836</v>
      </c>
    </row>
    <row r="11" spans="1:14" s="29" customFormat="1" ht="14.1" customHeight="1" x14ac:dyDescent="0.25">
      <c r="A11" s="4"/>
      <c r="B11" s="4">
        <v>18</v>
      </c>
      <c r="C11" s="115" t="s">
        <v>20</v>
      </c>
      <c r="D11" s="59">
        <f>'8'!G641</f>
        <v>176407</v>
      </c>
      <c r="E11" s="59">
        <f>'8'!H641</f>
        <v>23863</v>
      </c>
      <c r="F11" s="59">
        <f>'8'!I641</f>
        <v>87905</v>
      </c>
      <c r="G11" s="59">
        <f>'8'!J641</f>
        <v>0</v>
      </c>
      <c r="H11" s="59">
        <f>'8'!K641</f>
        <v>6500</v>
      </c>
      <c r="I11" s="59">
        <f>'8'!L641</f>
        <v>72155</v>
      </c>
      <c r="J11" s="59">
        <f>'8'!M641</f>
        <v>9525</v>
      </c>
      <c r="K11" s="59">
        <f>'8'!N641</f>
        <v>0</v>
      </c>
      <c r="L11" s="59">
        <f>'8'!O641</f>
        <v>0</v>
      </c>
      <c r="M11" s="59">
        <f>'8'!P641</f>
        <v>0</v>
      </c>
      <c r="N11" s="5">
        <f t="shared" si="0"/>
        <v>376355</v>
      </c>
    </row>
    <row r="12" spans="1:14" s="29" customFormat="1" ht="14.1" customHeight="1" x14ac:dyDescent="0.25">
      <c r="A12" s="4"/>
      <c r="B12" s="4">
        <v>19</v>
      </c>
      <c r="C12" s="63" t="s">
        <v>87</v>
      </c>
      <c r="D12" s="59">
        <f>'8'!G668</f>
        <v>0</v>
      </c>
      <c r="E12" s="59">
        <f>'8'!H668</f>
        <v>0</v>
      </c>
      <c r="F12" s="59">
        <f>'8'!I668</f>
        <v>430873</v>
      </c>
      <c r="G12" s="59">
        <f>'8'!J668</f>
        <v>0</v>
      </c>
      <c r="H12" s="59">
        <f>'8'!K668</f>
        <v>1526659</v>
      </c>
      <c r="I12" s="59">
        <f>'8'!L668</f>
        <v>0</v>
      </c>
      <c r="J12" s="59">
        <f>'8'!M668</f>
        <v>0</v>
      </c>
      <c r="K12" s="59">
        <f>'8'!N668</f>
        <v>6617</v>
      </c>
      <c r="L12" s="59">
        <f>'8'!O668</f>
        <v>117852</v>
      </c>
      <c r="M12" s="59">
        <f>'8'!P668</f>
        <v>10171582</v>
      </c>
      <c r="N12" s="5">
        <f t="shared" si="0"/>
        <v>12253583</v>
      </c>
    </row>
    <row r="13" spans="1:14" s="29" customFormat="1" ht="27" customHeight="1" x14ac:dyDescent="0.25">
      <c r="A13" s="4"/>
      <c r="B13" s="4">
        <v>22</v>
      </c>
      <c r="C13" s="108" t="s">
        <v>10</v>
      </c>
      <c r="D13" s="59">
        <f>'8'!G721</f>
        <v>37195</v>
      </c>
      <c r="E13" s="59">
        <f>'8'!H721</f>
        <v>13001</v>
      </c>
      <c r="F13" s="59">
        <f>'8'!I721</f>
        <v>199038</v>
      </c>
      <c r="G13" s="59">
        <f>'8'!J721</f>
        <v>0</v>
      </c>
      <c r="H13" s="59">
        <f>'8'!K721</f>
        <v>342595</v>
      </c>
      <c r="I13" s="59">
        <f>'8'!L721</f>
        <v>13000</v>
      </c>
      <c r="J13" s="59">
        <f>'8'!M721</f>
        <v>0</v>
      </c>
      <c r="K13" s="59">
        <f>'8'!N721</f>
        <v>11100</v>
      </c>
      <c r="L13" s="59">
        <f>'8'!O721</f>
        <v>0</v>
      </c>
      <c r="M13" s="59">
        <f>'8'!P721</f>
        <v>0</v>
      </c>
      <c r="N13" s="5">
        <f t="shared" si="0"/>
        <v>615929</v>
      </c>
    </row>
    <row r="14" spans="1:14" s="29" customFormat="1" ht="12.9" customHeight="1" x14ac:dyDescent="0.25">
      <c r="A14" s="4"/>
      <c r="B14" s="4">
        <v>30</v>
      </c>
      <c r="C14" s="6" t="s">
        <v>7</v>
      </c>
      <c r="D14" s="59">
        <f>'8'!G735</f>
        <v>0</v>
      </c>
      <c r="E14" s="59">
        <f>'8'!H735</f>
        <v>0</v>
      </c>
      <c r="F14" s="59">
        <f>'8'!I735</f>
        <v>0</v>
      </c>
      <c r="G14" s="59">
        <f>'8'!J735</f>
        <v>0</v>
      </c>
      <c r="H14" s="59">
        <f>'8'!K735</f>
        <v>714842</v>
      </c>
      <c r="I14" s="59">
        <f>'8'!L735</f>
        <v>11032</v>
      </c>
      <c r="J14" s="59">
        <f>'8'!M735</f>
        <v>9680</v>
      </c>
      <c r="K14" s="59">
        <f>'8'!N735</f>
        <v>0</v>
      </c>
      <c r="L14" s="59">
        <f>'8'!O735</f>
        <v>0</v>
      </c>
      <c r="M14" s="59">
        <f>'8'!P735</f>
        <v>0</v>
      </c>
      <c r="N14" s="5">
        <f t="shared" si="0"/>
        <v>735554</v>
      </c>
    </row>
    <row r="15" spans="1:14" s="30" customFormat="1" ht="34.5" customHeight="1" x14ac:dyDescent="0.25">
      <c r="A15" s="65"/>
      <c r="B15" s="65"/>
      <c r="C15" s="94" t="s">
        <v>12</v>
      </c>
      <c r="D15" s="8">
        <f>SUM(D3:D14)</f>
        <v>261131</v>
      </c>
      <c r="E15" s="8">
        <f>SUM(E3:E14)</f>
        <v>51187</v>
      </c>
      <c r="F15" s="8">
        <f t="shared" ref="F15:N15" si="1">SUM(F5:F14)</f>
        <v>8152864</v>
      </c>
      <c r="G15" s="8">
        <f t="shared" si="1"/>
        <v>97076</v>
      </c>
      <c r="H15" s="8">
        <f t="shared" si="1"/>
        <v>4575575</v>
      </c>
      <c r="I15" s="8">
        <f t="shared" si="1"/>
        <v>23642872</v>
      </c>
      <c r="J15" s="8">
        <f t="shared" si="1"/>
        <v>7279359</v>
      </c>
      <c r="K15" s="8">
        <f t="shared" si="1"/>
        <v>121172</v>
      </c>
      <c r="L15" s="8">
        <f t="shared" si="1"/>
        <v>117852</v>
      </c>
      <c r="M15" s="8">
        <f t="shared" si="1"/>
        <v>10171582</v>
      </c>
      <c r="N15" s="8">
        <f t="shared" si="1"/>
        <v>54470670</v>
      </c>
    </row>
    <row r="16" spans="1:14" s="30" customFormat="1" ht="12.9" customHeight="1" x14ac:dyDescent="0.25">
      <c r="A16" s="689">
        <v>2</v>
      </c>
      <c r="B16" s="95"/>
      <c r="C16" s="96" t="s">
        <v>183</v>
      </c>
      <c r="D16" s="59">
        <f>'10'!F22</f>
        <v>5413460</v>
      </c>
      <c r="E16" s="59">
        <f>'10'!G22</f>
        <v>779398</v>
      </c>
      <c r="F16" s="59">
        <f>'10'!H22</f>
        <v>2970861</v>
      </c>
      <c r="G16" s="59">
        <f>'10'!I22</f>
        <v>7100</v>
      </c>
      <c r="H16" s="59">
        <f>'10'!J22</f>
        <v>48443</v>
      </c>
      <c r="I16" s="59">
        <f>'10'!K22</f>
        <v>205828</v>
      </c>
      <c r="J16" s="59">
        <f>'10'!L22</f>
        <v>1195</v>
      </c>
      <c r="K16" s="59">
        <f>'10'!M22</f>
        <v>0</v>
      </c>
      <c r="L16" s="59"/>
      <c r="M16" s="59"/>
      <c r="N16" s="59">
        <f>SUM(D16:M16)</f>
        <v>9426285</v>
      </c>
    </row>
    <row r="17" spans="1:14" s="30" customFormat="1" ht="12.9" customHeight="1" x14ac:dyDescent="0.25">
      <c r="A17" s="65"/>
      <c r="B17" s="65"/>
      <c r="C17" s="9" t="s">
        <v>173</v>
      </c>
      <c r="D17" s="8">
        <f t="shared" ref="D17:N17" si="2">SUM(D15:D16)</f>
        <v>5674591</v>
      </c>
      <c r="E17" s="8">
        <f t="shared" si="2"/>
        <v>830585</v>
      </c>
      <c r="F17" s="8">
        <f t="shared" si="2"/>
        <v>11123725</v>
      </c>
      <c r="G17" s="8">
        <f t="shared" si="2"/>
        <v>104176</v>
      </c>
      <c r="H17" s="8">
        <f t="shared" ref="H17:M17" si="3">SUM(H15:H16)</f>
        <v>4624018</v>
      </c>
      <c r="I17" s="8">
        <f t="shared" si="3"/>
        <v>23848700</v>
      </c>
      <c r="J17" s="8">
        <f t="shared" si="3"/>
        <v>7280554</v>
      </c>
      <c r="K17" s="8">
        <f t="shared" si="3"/>
        <v>121172</v>
      </c>
      <c r="L17" s="8">
        <f t="shared" si="3"/>
        <v>117852</v>
      </c>
      <c r="M17" s="8">
        <f t="shared" si="3"/>
        <v>10171582</v>
      </c>
      <c r="N17" s="8">
        <f t="shared" si="2"/>
        <v>63896955</v>
      </c>
    </row>
    <row r="19" spans="1:14" x14ac:dyDescent="0.2">
      <c r="N19" s="118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2022.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740"/>
  <sheetViews>
    <sheetView tabSelected="1" zoomScaleNormal="100" zoomScaleSheetLayoutView="120" workbookViewId="0">
      <pane ySplit="2" topLeftCell="A549" activePane="bottomLeft" state="frozen"/>
      <selection pane="bottomLeft" activeCell="F552" sqref="F552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66" customWidth="1"/>
    <col min="14" max="14" width="8.77734375" style="266" customWidth="1"/>
    <col min="15" max="15" width="10.33203125" style="1" customWidth="1"/>
    <col min="16" max="16" width="12.33203125" style="1" customWidth="1"/>
    <col min="17" max="17" width="12.44140625" style="1" customWidth="1"/>
    <col min="18" max="18" width="11.44140625" style="1" bestFit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7" ht="25.5" customHeight="1" x14ac:dyDescent="0.25">
      <c r="A1" s="865" t="s">
        <v>89</v>
      </c>
      <c r="B1" s="865" t="s">
        <v>90</v>
      </c>
      <c r="C1" s="865" t="s">
        <v>19</v>
      </c>
      <c r="D1" s="867" t="s">
        <v>128</v>
      </c>
      <c r="E1" s="869" t="s">
        <v>319</v>
      </c>
      <c r="F1" s="871" t="s">
        <v>215</v>
      </c>
      <c r="G1" s="873" t="s">
        <v>134</v>
      </c>
      <c r="H1" s="873"/>
      <c r="I1" s="873"/>
      <c r="J1" s="873"/>
      <c r="K1" s="873"/>
      <c r="L1" s="873"/>
      <c r="M1" s="873"/>
      <c r="N1" s="874"/>
      <c r="O1" s="875" t="s">
        <v>133</v>
      </c>
      <c r="P1" s="874"/>
      <c r="Q1" s="862" t="s">
        <v>320</v>
      </c>
    </row>
    <row r="2" spans="1:17" ht="57.9" customHeight="1" thickBot="1" x14ac:dyDescent="0.3">
      <c r="A2" s="866"/>
      <c r="B2" s="866"/>
      <c r="C2" s="866"/>
      <c r="D2" s="868"/>
      <c r="E2" s="870"/>
      <c r="F2" s="872"/>
      <c r="G2" s="287" t="s">
        <v>113</v>
      </c>
      <c r="H2" s="162" t="s">
        <v>198</v>
      </c>
      <c r="I2" s="162" t="s">
        <v>192</v>
      </c>
      <c r="J2" s="162" t="s">
        <v>17</v>
      </c>
      <c r="K2" s="162" t="s">
        <v>24</v>
      </c>
      <c r="L2" s="162" t="s">
        <v>22</v>
      </c>
      <c r="M2" s="162" t="s">
        <v>21</v>
      </c>
      <c r="N2" s="162" t="s">
        <v>18</v>
      </c>
      <c r="O2" s="163" t="s">
        <v>138</v>
      </c>
      <c r="P2" s="164" t="s">
        <v>140</v>
      </c>
      <c r="Q2" s="863"/>
    </row>
    <row r="3" spans="1:17" ht="16.5" customHeight="1" x14ac:dyDescent="0.25">
      <c r="A3" s="165">
        <v>1</v>
      </c>
      <c r="B3" s="166"/>
      <c r="C3" s="167"/>
      <c r="D3" s="343" t="s">
        <v>321</v>
      </c>
      <c r="E3" s="168"/>
      <c r="F3" s="169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1"/>
    </row>
    <row r="4" spans="1:17" ht="12.75" customHeight="1" x14ac:dyDescent="0.25">
      <c r="A4" s="166">
        <v>1</v>
      </c>
      <c r="B4" s="166">
        <v>1</v>
      </c>
      <c r="C4" s="166"/>
      <c r="D4" s="343" t="s">
        <v>5</v>
      </c>
      <c r="E4" s="151"/>
      <c r="F4" s="172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</row>
    <row r="5" spans="1:17" ht="12" customHeight="1" x14ac:dyDescent="0.25">
      <c r="A5" s="173">
        <v>1</v>
      </c>
      <c r="B5" s="173">
        <v>12</v>
      </c>
      <c r="C5" s="173"/>
      <c r="D5" s="174" t="s">
        <v>101</v>
      </c>
      <c r="E5" s="175"/>
      <c r="F5" s="176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</row>
    <row r="6" spans="1:17" ht="14.4" customHeight="1" x14ac:dyDescent="0.25">
      <c r="A6" s="173"/>
      <c r="B6" s="173"/>
      <c r="C6" s="178"/>
      <c r="D6" s="179" t="s">
        <v>322</v>
      </c>
      <c r="E6" s="180"/>
      <c r="F6" s="181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</row>
    <row r="7" spans="1:17" ht="14.4" customHeight="1" x14ac:dyDescent="0.25">
      <c r="A7" s="173"/>
      <c r="B7" s="173"/>
      <c r="C7" s="178"/>
      <c r="D7" s="182" t="s">
        <v>323</v>
      </c>
      <c r="E7" s="183">
        <v>2</v>
      </c>
      <c r="F7" s="184">
        <v>121103</v>
      </c>
      <c r="G7" s="177"/>
      <c r="H7" s="177"/>
      <c r="I7" s="177"/>
      <c r="J7" s="177">
        <f>6000+táj2!J7</f>
        <v>6000</v>
      </c>
      <c r="K7" s="177"/>
      <c r="L7" s="177"/>
      <c r="M7" s="177"/>
      <c r="N7" s="177"/>
      <c r="O7" s="177"/>
      <c r="P7" s="177"/>
      <c r="Q7" s="177">
        <f>SUM(G7:P7)</f>
        <v>6000</v>
      </c>
    </row>
    <row r="8" spans="1:17" ht="14.4" customHeight="1" x14ac:dyDescent="0.25">
      <c r="A8" s="173"/>
      <c r="B8" s="173"/>
      <c r="C8" s="178"/>
      <c r="D8" s="182" t="s">
        <v>324</v>
      </c>
      <c r="E8" s="183"/>
      <c r="F8" s="184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</row>
    <row r="9" spans="1:17" ht="14.4" customHeight="1" x14ac:dyDescent="0.25">
      <c r="A9" s="173"/>
      <c r="B9" s="173"/>
      <c r="C9" s="178"/>
      <c r="D9" s="182" t="s">
        <v>325</v>
      </c>
      <c r="E9" s="183">
        <v>2</v>
      </c>
      <c r="F9" s="184">
        <v>121104</v>
      </c>
      <c r="G9" s="177"/>
      <c r="H9" s="177"/>
      <c r="I9" s="177"/>
      <c r="J9" s="177">
        <f>20000+táj2!J9</f>
        <v>20000</v>
      </c>
      <c r="K9" s="177"/>
      <c r="L9" s="177"/>
      <c r="M9" s="177"/>
      <c r="N9" s="177"/>
      <c r="O9" s="177"/>
      <c r="P9" s="177"/>
      <c r="Q9" s="177">
        <f>SUM(G9:P9)</f>
        <v>20000</v>
      </c>
    </row>
    <row r="10" spans="1:17" ht="24" customHeight="1" x14ac:dyDescent="0.25">
      <c r="A10" s="173"/>
      <c r="B10" s="173"/>
      <c r="C10" s="178"/>
      <c r="D10" s="661" t="s">
        <v>326</v>
      </c>
      <c r="E10" s="183">
        <v>2</v>
      </c>
      <c r="F10" s="184">
        <v>121117</v>
      </c>
      <c r="G10" s="177"/>
      <c r="H10" s="177"/>
      <c r="I10" s="177"/>
      <c r="J10" s="177">
        <f>9000+táj2!J10</f>
        <v>9000</v>
      </c>
      <c r="K10" s="177"/>
      <c r="L10" s="177"/>
      <c r="M10" s="177"/>
      <c r="N10" s="177"/>
      <c r="O10" s="177"/>
      <c r="P10" s="177"/>
      <c r="Q10" s="177">
        <f>SUM(G10:P10)</f>
        <v>9000</v>
      </c>
    </row>
    <row r="11" spans="1:17" ht="14.4" customHeight="1" x14ac:dyDescent="0.25">
      <c r="A11" s="173"/>
      <c r="B11" s="173"/>
      <c r="C11" s="178"/>
      <c r="D11" s="662" t="s">
        <v>327</v>
      </c>
      <c r="E11" s="183"/>
      <c r="F11" s="184"/>
      <c r="G11" s="177"/>
      <c r="H11" s="177"/>
      <c r="I11" s="177"/>
      <c r="J11" s="177"/>
      <c r="K11" s="177"/>
      <c r="L11" s="177"/>
      <c r="M11" s="177"/>
      <c r="N11" s="177"/>
      <c r="O11" s="177"/>
      <c r="P11" s="177"/>
      <c r="Q11" s="177"/>
    </row>
    <row r="12" spans="1:17" ht="14.4" customHeight="1" x14ac:dyDescent="0.25">
      <c r="A12" s="173"/>
      <c r="B12" s="173"/>
      <c r="C12" s="178"/>
      <c r="D12" s="662" t="s">
        <v>328</v>
      </c>
      <c r="E12" s="183">
        <v>2</v>
      </c>
      <c r="F12" s="184">
        <v>121111</v>
      </c>
      <c r="G12" s="177"/>
      <c r="H12" s="177"/>
      <c r="I12" s="177"/>
      <c r="J12" s="177">
        <f>2000+táj2!J12</f>
        <v>2000</v>
      </c>
      <c r="K12" s="177"/>
      <c r="L12" s="177"/>
      <c r="M12" s="177"/>
      <c r="N12" s="177"/>
      <c r="O12" s="177"/>
      <c r="P12" s="177"/>
      <c r="Q12" s="177">
        <f t="shared" ref="Q12:Q16" si="0">SUM(G12:P12)</f>
        <v>2000</v>
      </c>
    </row>
    <row r="13" spans="1:17" ht="14.4" customHeight="1" x14ac:dyDescent="0.25">
      <c r="A13" s="173"/>
      <c r="B13" s="173"/>
      <c r="C13" s="178"/>
      <c r="D13" s="662" t="s">
        <v>329</v>
      </c>
      <c r="E13" s="183">
        <v>2</v>
      </c>
      <c r="F13" s="183">
        <v>121127</v>
      </c>
      <c r="G13" s="177"/>
      <c r="H13" s="177"/>
      <c r="I13" s="177"/>
      <c r="J13" s="177">
        <f>4000+táj2!J13</f>
        <v>4000</v>
      </c>
      <c r="K13" s="177"/>
      <c r="L13" s="177"/>
      <c r="M13" s="177"/>
      <c r="N13" s="177"/>
      <c r="O13" s="177"/>
      <c r="P13" s="177"/>
      <c r="Q13" s="177">
        <f t="shared" si="0"/>
        <v>4000</v>
      </c>
    </row>
    <row r="14" spans="1:17" ht="14.4" customHeight="1" x14ac:dyDescent="0.25">
      <c r="A14" s="173"/>
      <c r="B14" s="173"/>
      <c r="C14" s="178"/>
      <c r="D14" s="662" t="s">
        <v>330</v>
      </c>
      <c r="E14" s="183">
        <v>2</v>
      </c>
      <c r="F14" s="183">
        <v>121115</v>
      </c>
      <c r="G14" s="177"/>
      <c r="H14" s="177"/>
      <c r="I14" s="177"/>
      <c r="J14" s="177">
        <f>700+táj2!J14</f>
        <v>700</v>
      </c>
      <c r="K14" s="177"/>
      <c r="L14" s="177"/>
      <c r="M14" s="177"/>
      <c r="N14" s="177"/>
      <c r="O14" s="177"/>
      <c r="P14" s="177"/>
      <c r="Q14" s="177">
        <f t="shared" si="0"/>
        <v>700</v>
      </c>
    </row>
    <row r="15" spans="1:17" ht="14.4" customHeight="1" x14ac:dyDescent="0.25">
      <c r="A15" s="173"/>
      <c r="B15" s="173"/>
      <c r="C15" s="178"/>
      <c r="D15" s="662" t="s">
        <v>331</v>
      </c>
      <c r="E15" s="183">
        <v>2</v>
      </c>
      <c r="F15" s="183">
        <v>121129</v>
      </c>
      <c r="G15" s="177"/>
      <c r="H15" s="177"/>
      <c r="I15" s="177"/>
      <c r="J15" s="177">
        <f>3600+táj2!J15</f>
        <v>3600</v>
      </c>
      <c r="K15" s="177"/>
      <c r="L15" s="177"/>
      <c r="M15" s="177"/>
      <c r="N15" s="177"/>
      <c r="O15" s="177"/>
      <c r="P15" s="177"/>
      <c r="Q15" s="177">
        <f t="shared" si="0"/>
        <v>3600</v>
      </c>
    </row>
    <row r="16" spans="1:17" ht="14.4" customHeight="1" x14ac:dyDescent="0.25">
      <c r="A16" s="173"/>
      <c r="B16" s="173"/>
      <c r="C16" s="178"/>
      <c r="D16" s="663" t="s">
        <v>332</v>
      </c>
      <c r="E16" s="183">
        <v>2</v>
      </c>
      <c r="F16" s="183">
        <v>121106</v>
      </c>
      <c r="G16" s="177"/>
      <c r="H16" s="177"/>
      <c r="I16" s="177"/>
      <c r="J16" s="177">
        <f>2400+táj2!J16</f>
        <v>2400</v>
      </c>
      <c r="K16" s="177"/>
      <c r="L16" s="177"/>
      <c r="M16" s="177"/>
      <c r="N16" s="177"/>
      <c r="O16" s="177"/>
      <c r="P16" s="177"/>
      <c r="Q16" s="177">
        <f t="shared" si="0"/>
        <v>2400</v>
      </c>
    </row>
    <row r="17" spans="1:17" ht="27" customHeight="1" x14ac:dyDescent="0.25">
      <c r="A17" s="173"/>
      <c r="B17" s="173"/>
      <c r="C17" s="178"/>
      <c r="D17" s="664" t="s">
        <v>333</v>
      </c>
      <c r="E17" s="183"/>
      <c r="F17" s="183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</row>
    <row r="18" spans="1:17" ht="14.4" customHeight="1" x14ac:dyDescent="0.25">
      <c r="A18" s="173"/>
      <c r="B18" s="173"/>
      <c r="C18" s="178"/>
      <c r="D18" s="662" t="s">
        <v>334</v>
      </c>
      <c r="E18" s="183">
        <v>2</v>
      </c>
      <c r="F18" s="183">
        <v>121131</v>
      </c>
      <c r="G18" s="177"/>
      <c r="H18" s="177"/>
      <c r="I18" s="177"/>
      <c r="J18" s="177">
        <f>2000+táj2!J18</f>
        <v>2000</v>
      </c>
      <c r="K18" s="177"/>
      <c r="L18" s="177"/>
      <c r="M18" s="177"/>
      <c r="N18" s="177"/>
      <c r="O18" s="177"/>
      <c r="P18" s="177"/>
      <c r="Q18" s="177">
        <f>SUM(G18:P18)</f>
        <v>2000</v>
      </c>
    </row>
    <row r="19" spans="1:17" ht="14.4" customHeight="1" x14ac:dyDescent="0.25">
      <c r="A19" s="173"/>
      <c r="B19" s="173"/>
      <c r="C19" s="178"/>
      <c r="D19" s="662" t="s">
        <v>324</v>
      </c>
      <c r="E19" s="183"/>
      <c r="F19" s="183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</row>
    <row r="20" spans="1:17" ht="14.4" customHeight="1" x14ac:dyDescent="0.25">
      <c r="A20" s="173"/>
      <c r="B20" s="173"/>
      <c r="C20" s="178"/>
      <c r="D20" s="662" t="s">
        <v>335</v>
      </c>
      <c r="E20" s="183">
        <v>2</v>
      </c>
      <c r="F20" s="183">
        <v>121130</v>
      </c>
      <c r="G20" s="177"/>
      <c r="H20" s="177"/>
      <c r="I20" s="177"/>
      <c r="J20" s="177">
        <f>1000+táj2!J20</f>
        <v>1000</v>
      </c>
      <c r="K20" s="177"/>
      <c r="L20" s="177"/>
      <c r="M20" s="177"/>
      <c r="N20" s="177"/>
      <c r="O20" s="177"/>
      <c r="P20" s="177"/>
      <c r="Q20" s="177">
        <f>SUM(G20:P20)</f>
        <v>1000</v>
      </c>
    </row>
    <row r="21" spans="1:17" ht="14.4" customHeight="1" x14ac:dyDescent="0.25">
      <c r="A21" s="173"/>
      <c r="B21" s="173"/>
      <c r="C21" s="178"/>
      <c r="D21" s="662" t="s">
        <v>327</v>
      </c>
      <c r="E21" s="183"/>
      <c r="F21" s="183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</row>
    <row r="22" spans="1:17" ht="14.4" customHeight="1" x14ac:dyDescent="0.25">
      <c r="A22" s="173"/>
      <c r="B22" s="173"/>
      <c r="C22" s="178"/>
      <c r="D22" s="182" t="s">
        <v>336</v>
      </c>
      <c r="E22" s="183">
        <v>1</v>
      </c>
      <c r="F22" s="184">
        <v>121204</v>
      </c>
      <c r="G22" s="177"/>
      <c r="H22" s="177"/>
      <c r="I22" s="177"/>
      <c r="J22" s="177">
        <f>14000+táj2!J22</f>
        <v>14000</v>
      </c>
      <c r="K22" s="177"/>
      <c r="L22" s="177"/>
      <c r="M22" s="177"/>
      <c r="N22" s="177"/>
      <c r="O22" s="177"/>
      <c r="P22" s="177"/>
      <c r="Q22" s="177">
        <f>SUM(G22:P22)</f>
        <v>14000</v>
      </c>
    </row>
    <row r="23" spans="1:17" ht="14.4" customHeight="1" x14ac:dyDescent="0.25">
      <c r="A23" s="173"/>
      <c r="B23" s="173"/>
      <c r="C23" s="178"/>
      <c r="D23" s="344" t="s">
        <v>337</v>
      </c>
      <c r="E23" s="345">
        <v>1</v>
      </c>
      <c r="F23" s="184">
        <v>121132</v>
      </c>
      <c r="G23" s="177"/>
      <c r="H23" s="177"/>
      <c r="I23" s="177"/>
      <c r="J23" s="177">
        <f>250+táj2!J23</f>
        <v>250</v>
      </c>
      <c r="K23" s="177"/>
      <c r="L23" s="177"/>
      <c r="M23" s="177"/>
      <c r="N23" s="177"/>
      <c r="O23" s="177"/>
      <c r="P23" s="177"/>
      <c r="Q23" s="177">
        <f>SUM(G23:P23)</f>
        <v>250</v>
      </c>
    </row>
    <row r="24" spans="1:17" ht="14.4" customHeight="1" x14ac:dyDescent="0.25">
      <c r="A24" s="173"/>
      <c r="B24" s="173"/>
      <c r="C24" s="178"/>
      <c r="D24" s="185" t="s">
        <v>338</v>
      </c>
      <c r="E24" s="183">
        <v>1</v>
      </c>
      <c r="F24" s="184">
        <v>121203</v>
      </c>
      <c r="G24" s="177"/>
      <c r="H24" s="177"/>
      <c r="I24" s="177">
        <f>780+táj2!I24</f>
        <v>780</v>
      </c>
      <c r="J24" s="177">
        <f>5720+táj2!J24</f>
        <v>5720</v>
      </c>
      <c r="K24" s="177"/>
      <c r="L24" s="177"/>
      <c r="M24" s="177"/>
      <c r="N24" s="177"/>
      <c r="O24" s="177"/>
      <c r="P24" s="177"/>
      <c r="Q24" s="177">
        <f>SUM(G24:P24)</f>
        <v>6500</v>
      </c>
    </row>
    <row r="25" spans="1:17" ht="14.4" customHeight="1" x14ac:dyDescent="0.25">
      <c r="A25" s="173"/>
      <c r="B25" s="173"/>
      <c r="C25" s="178"/>
      <c r="D25" s="186" t="s">
        <v>339</v>
      </c>
      <c r="E25" s="183"/>
      <c r="F25" s="151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</row>
    <row r="26" spans="1:17" ht="14.4" customHeight="1" x14ac:dyDescent="0.25">
      <c r="A26" s="173"/>
      <c r="B26" s="173"/>
      <c r="C26" s="178"/>
      <c r="D26" s="182" t="s">
        <v>340</v>
      </c>
      <c r="E26" s="183">
        <v>2</v>
      </c>
      <c r="F26" s="184">
        <v>121504</v>
      </c>
      <c r="G26" s="177"/>
      <c r="H26" s="177"/>
      <c r="I26" s="177"/>
      <c r="J26" s="177">
        <f>4000+táj2!J26</f>
        <v>4000</v>
      </c>
      <c r="K26" s="177"/>
      <c r="L26" s="177"/>
      <c r="M26" s="177"/>
      <c r="N26" s="177"/>
      <c r="O26" s="177"/>
      <c r="P26" s="177"/>
      <c r="Q26" s="177">
        <f>SUM(G26:P26)</f>
        <v>4000</v>
      </c>
    </row>
    <row r="27" spans="1:17" ht="14.4" customHeight="1" x14ac:dyDescent="0.25">
      <c r="A27" s="173"/>
      <c r="B27" s="173"/>
      <c r="C27" s="178"/>
      <c r="D27" s="182" t="s">
        <v>292</v>
      </c>
      <c r="E27" s="183"/>
      <c r="F27" s="184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</row>
    <row r="28" spans="1:17" ht="12.6" customHeight="1" x14ac:dyDescent="0.25">
      <c r="A28" s="172"/>
      <c r="B28" s="187"/>
      <c r="C28" s="346"/>
      <c r="D28" s="151" t="s">
        <v>341</v>
      </c>
      <c r="E28" s="183">
        <v>1</v>
      </c>
      <c r="F28" s="151">
        <v>121403</v>
      </c>
      <c r="G28" s="177"/>
      <c r="H28" s="177"/>
      <c r="I28" s="177">
        <f>50+táj2!I28</f>
        <v>50</v>
      </c>
      <c r="J28" s="177"/>
      <c r="K28" s="177"/>
      <c r="L28" s="177"/>
      <c r="M28" s="177"/>
      <c r="N28" s="177"/>
      <c r="O28" s="177"/>
      <c r="P28" s="177"/>
      <c r="Q28" s="177">
        <f>SUM(G28:P28)</f>
        <v>50</v>
      </c>
    </row>
    <row r="29" spans="1:17" ht="12.6" customHeight="1" x14ac:dyDescent="0.25">
      <c r="A29" s="172"/>
      <c r="B29" s="187"/>
      <c r="C29" s="346"/>
      <c r="D29" s="151" t="s">
        <v>342</v>
      </c>
      <c r="E29" s="151"/>
      <c r="F29" s="151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</row>
    <row r="30" spans="1:17" ht="12.6" customHeight="1" x14ac:dyDescent="0.25">
      <c r="A30" s="172"/>
      <c r="B30" s="172"/>
      <c r="C30" s="188"/>
      <c r="D30" s="186" t="s">
        <v>343</v>
      </c>
      <c r="E30" s="151">
        <v>1</v>
      </c>
      <c r="F30" s="151">
        <v>121301</v>
      </c>
      <c r="G30" s="177"/>
      <c r="H30" s="177"/>
      <c r="I30" s="177"/>
      <c r="J30" s="177">
        <f>2500+táj2!J30</f>
        <v>0</v>
      </c>
      <c r="K30" s="177"/>
      <c r="L30" s="177"/>
      <c r="M30" s="177"/>
      <c r="N30" s="177"/>
      <c r="O30" s="177"/>
      <c r="P30" s="177"/>
      <c r="Q30" s="177">
        <f>SUM(G30:P30)</f>
        <v>0</v>
      </c>
    </row>
    <row r="31" spans="1:17" ht="12.6" customHeight="1" x14ac:dyDescent="0.25">
      <c r="A31" s="172"/>
      <c r="B31" s="172"/>
      <c r="C31" s="188"/>
      <c r="D31" s="189" t="s">
        <v>216</v>
      </c>
      <c r="E31" s="183"/>
      <c r="F31" s="151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</row>
    <row r="32" spans="1:17" ht="12.6" customHeight="1" x14ac:dyDescent="0.25">
      <c r="A32" s="172"/>
      <c r="B32" s="172"/>
      <c r="C32" s="188"/>
      <c r="D32" s="190" t="s">
        <v>344</v>
      </c>
      <c r="E32" s="183">
        <v>2</v>
      </c>
      <c r="F32" s="151">
        <v>221902</v>
      </c>
      <c r="G32" s="177"/>
      <c r="H32" s="177"/>
      <c r="I32" s="177">
        <f>31084+táj2!I32</f>
        <v>31084</v>
      </c>
      <c r="J32" s="177"/>
      <c r="K32" s="177"/>
      <c r="L32" s="177"/>
      <c r="M32" s="177"/>
      <c r="N32" s="177"/>
      <c r="O32" s="177"/>
      <c r="P32" s="177"/>
      <c r="Q32" s="177">
        <f>SUM(G32:P32)</f>
        <v>31084</v>
      </c>
    </row>
    <row r="33" spans="1:17" ht="12.6" customHeight="1" x14ac:dyDescent="0.25">
      <c r="A33" s="172"/>
      <c r="B33" s="172"/>
      <c r="C33" s="188"/>
      <c r="D33" s="191" t="s">
        <v>345</v>
      </c>
      <c r="E33" s="183">
        <v>2</v>
      </c>
      <c r="F33" s="151" t="s">
        <v>346</v>
      </c>
      <c r="G33" s="177"/>
      <c r="H33" s="177">
        <f>4700+táj2!H33</f>
        <v>4700</v>
      </c>
      <c r="I33" s="177">
        <f>300+táj2!I33</f>
        <v>300</v>
      </c>
      <c r="J33" s="177">
        <f>16306+táj2!J33</f>
        <v>16306</v>
      </c>
      <c r="K33" s="177"/>
      <c r="L33" s="177"/>
      <c r="M33" s="177"/>
      <c r="N33" s="177"/>
      <c r="O33" s="177"/>
      <c r="P33" s="177"/>
      <c r="Q33" s="177">
        <f>SUM(G33:P33)</f>
        <v>21306</v>
      </c>
    </row>
    <row r="34" spans="1:17" ht="12.6" customHeight="1" x14ac:dyDescent="0.25">
      <c r="A34" s="172"/>
      <c r="B34" s="172"/>
      <c r="C34" s="188"/>
      <c r="D34" s="191" t="s">
        <v>882</v>
      </c>
      <c r="E34" s="183">
        <v>1</v>
      </c>
      <c r="F34" s="151">
        <v>121118</v>
      </c>
      <c r="G34" s="177"/>
      <c r="H34" s="177"/>
      <c r="I34" s="177">
        <f>300+táj2!I34</f>
        <v>300</v>
      </c>
      <c r="J34" s="177"/>
      <c r="K34" s="177"/>
      <c r="L34" s="177"/>
      <c r="M34" s="177"/>
      <c r="N34" s="177"/>
      <c r="O34" s="177"/>
      <c r="P34" s="177"/>
      <c r="Q34" s="177">
        <f t="shared" ref="Q34:Q35" si="1">SUM(G34:P34)</f>
        <v>300</v>
      </c>
    </row>
    <row r="35" spans="1:17" ht="12.6" customHeight="1" x14ac:dyDescent="0.25">
      <c r="A35" s="172"/>
      <c r="B35" s="172"/>
      <c r="C35" s="188"/>
      <c r="D35" s="185" t="s">
        <v>883</v>
      </c>
      <c r="E35" s="183">
        <v>1</v>
      </c>
      <c r="F35" s="151">
        <v>121515</v>
      </c>
      <c r="G35" s="177"/>
      <c r="H35" s="177"/>
      <c r="I35" s="177">
        <f>200+táj2!I35</f>
        <v>200</v>
      </c>
      <c r="J35" s="177"/>
      <c r="K35" s="177"/>
      <c r="L35" s="177"/>
      <c r="M35" s="177"/>
      <c r="N35" s="177"/>
      <c r="O35" s="177"/>
      <c r="P35" s="177"/>
      <c r="Q35" s="177">
        <f t="shared" si="1"/>
        <v>200</v>
      </c>
    </row>
    <row r="36" spans="1:17" ht="14.1" customHeight="1" x14ac:dyDescent="0.25">
      <c r="A36" s="172"/>
      <c r="B36" s="172"/>
      <c r="C36" s="188"/>
      <c r="D36" s="179" t="s">
        <v>347</v>
      </c>
      <c r="E36" s="183"/>
      <c r="F36" s="151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</row>
    <row r="37" spans="1:17" ht="14.1" customHeight="1" x14ac:dyDescent="0.25">
      <c r="A37" s="172"/>
      <c r="B37" s="172"/>
      <c r="C37" s="188"/>
      <c r="D37" s="186" t="s">
        <v>348</v>
      </c>
      <c r="E37" s="183">
        <v>1</v>
      </c>
      <c r="F37" s="151">
        <v>121601</v>
      </c>
      <c r="G37" s="177">
        <f>150+táj2!G37</f>
        <v>150</v>
      </c>
      <c r="H37" s="177">
        <f>50+táj2!H37</f>
        <v>50</v>
      </c>
      <c r="I37" s="177">
        <f>200+táj2!I37</f>
        <v>200</v>
      </c>
      <c r="J37" s="177"/>
      <c r="K37" s="177">
        <f>100+táj2!K37</f>
        <v>100</v>
      </c>
      <c r="L37" s="177"/>
      <c r="M37" s="177"/>
      <c r="N37" s="177"/>
      <c r="O37" s="177"/>
      <c r="P37" s="177"/>
      <c r="Q37" s="177">
        <f>SUM(G37:P37)</f>
        <v>500</v>
      </c>
    </row>
    <row r="38" spans="1:17" ht="14.1" customHeight="1" x14ac:dyDescent="0.25">
      <c r="A38" s="172"/>
      <c r="B38" s="172"/>
      <c r="C38" s="188"/>
      <c r="D38" s="193" t="s">
        <v>349</v>
      </c>
      <c r="E38" s="183"/>
      <c r="F38" s="183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</row>
    <row r="39" spans="1:17" ht="14.1" customHeight="1" x14ac:dyDescent="0.25">
      <c r="A39" s="172"/>
      <c r="B39" s="172"/>
      <c r="C39" s="188"/>
      <c r="D39" s="186" t="s">
        <v>350</v>
      </c>
      <c r="E39" s="183">
        <v>2</v>
      </c>
      <c r="F39" s="151">
        <v>121517</v>
      </c>
      <c r="G39" s="177"/>
      <c r="H39" s="177"/>
      <c r="I39" s="177"/>
      <c r="J39" s="177"/>
      <c r="K39" s="177">
        <f>3000+táj2!K39</f>
        <v>3000</v>
      </c>
      <c r="L39" s="177"/>
      <c r="M39" s="177"/>
      <c r="N39" s="177"/>
      <c r="O39" s="177"/>
      <c r="P39" s="177"/>
      <c r="Q39" s="177">
        <f>SUM(G39:P39)</f>
        <v>3000</v>
      </c>
    </row>
    <row r="40" spans="1:17" ht="12" x14ac:dyDescent="0.25">
      <c r="A40" s="194"/>
      <c r="B40" s="194"/>
      <c r="C40" s="195"/>
      <c r="D40" s="196" t="s">
        <v>351</v>
      </c>
      <c r="E40" s="197"/>
      <c r="F40" s="198"/>
      <c r="G40" s="198">
        <f t="shared" ref="G40:Q40" si="2">SUM(G7:G39)</f>
        <v>150</v>
      </c>
      <c r="H40" s="198">
        <f t="shared" si="2"/>
        <v>4750</v>
      </c>
      <c r="I40" s="198">
        <f t="shared" si="2"/>
        <v>32914</v>
      </c>
      <c r="J40" s="198">
        <f t="shared" si="2"/>
        <v>90976</v>
      </c>
      <c r="K40" s="198">
        <f t="shared" si="2"/>
        <v>3100</v>
      </c>
      <c r="L40" s="198">
        <f t="shared" si="2"/>
        <v>0</v>
      </c>
      <c r="M40" s="198">
        <f t="shared" si="2"/>
        <v>0</v>
      </c>
      <c r="N40" s="198">
        <f t="shared" si="2"/>
        <v>0</v>
      </c>
      <c r="O40" s="198">
        <f t="shared" si="2"/>
        <v>0</v>
      </c>
      <c r="P40" s="198">
        <f t="shared" si="2"/>
        <v>0</v>
      </c>
      <c r="Q40" s="198">
        <f t="shared" si="2"/>
        <v>131890</v>
      </c>
    </row>
    <row r="41" spans="1:17" ht="12" x14ac:dyDescent="0.25">
      <c r="A41" s="199"/>
      <c r="B41" s="199"/>
      <c r="C41" s="188"/>
      <c r="D41" s="186" t="s">
        <v>352</v>
      </c>
      <c r="E41" s="200"/>
      <c r="F41" s="151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</row>
    <row r="42" spans="1:17" ht="24" x14ac:dyDescent="0.25">
      <c r="A42" s="199"/>
      <c r="B42" s="199"/>
      <c r="C42" s="188" t="s">
        <v>353</v>
      </c>
      <c r="D42" s="665" t="s">
        <v>354</v>
      </c>
      <c r="E42" s="200"/>
      <c r="F42" s="151">
        <v>121401</v>
      </c>
      <c r="G42" s="151"/>
      <c r="H42" s="151"/>
      <c r="I42" s="151"/>
      <c r="J42" s="151"/>
      <c r="K42" s="151"/>
      <c r="L42" s="151"/>
      <c r="M42" s="151"/>
      <c r="N42" s="151">
        <f>12400+táj2!N42</f>
        <v>12400</v>
      </c>
      <c r="O42" s="151"/>
      <c r="P42" s="151"/>
      <c r="Q42" s="151">
        <f>SUM(G42:P42)</f>
        <v>12400</v>
      </c>
    </row>
    <row r="43" spans="1:17" ht="12" x14ac:dyDescent="0.25">
      <c r="A43" s="199"/>
      <c r="B43" s="199"/>
      <c r="C43" s="188"/>
      <c r="D43" s="566" t="s">
        <v>884</v>
      </c>
      <c r="E43" s="200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</row>
    <row r="44" spans="1:17" ht="12" x14ac:dyDescent="0.25">
      <c r="A44" s="199"/>
      <c r="B44" s="199"/>
      <c r="C44" s="188" t="s">
        <v>355</v>
      </c>
      <c r="D44" s="666" t="s">
        <v>356</v>
      </c>
      <c r="E44" s="200"/>
      <c r="F44" s="151">
        <v>121405</v>
      </c>
      <c r="G44" s="151"/>
      <c r="H44" s="151"/>
      <c r="I44" s="151"/>
      <c r="J44" s="151"/>
      <c r="K44" s="151"/>
      <c r="L44" s="151"/>
      <c r="M44" s="151"/>
      <c r="N44" s="151">
        <f>1000+táj2!N44</f>
        <v>1000</v>
      </c>
      <c r="O44" s="151"/>
      <c r="P44" s="151"/>
      <c r="Q44" s="151">
        <f>SUM(G44:P44)</f>
        <v>1000</v>
      </c>
    </row>
    <row r="45" spans="1:17" ht="24" x14ac:dyDescent="0.25">
      <c r="A45" s="199"/>
      <c r="B45" s="199"/>
      <c r="C45" s="188" t="s">
        <v>357</v>
      </c>
      <c r="D45" s="667" t="s">
        <v>358</v>
      </c>
      <c r="E45" s="200"/>
      <c r="F45" s="151">
        <v>121402</v>
      </c>
      <c r="G45" s="151"/>
      <c r="H45" s="151"/>
      <c r="I45" s="151"/>
      <c r="J45" s="151"/>
      <c r="K45" s="151"/>
      <c r="L45" s="151"/>
      <c r="M45" s="151"/>
      <c r="N45" s="151">
        <f>13819+táj2!N45</f>
        <v>13819</v>
      </c>
      <c r="O45" s="151"/>
      <c r="P45" s="151"/>
      <c r="Q45" s="151">
        <f>SUM(G45:P45)</f>
        <v>13819</v>
      </c>
    </row>
    <row r="46" spans="1:17" ht="12" x14ac:dyDescent="0.25">
      <c r="A46" s="194"/>
      <c r="B46" s="194"/>
      <c r="C46" s="195"/>
      <c r="D46" s="196" t="s">
        <v>359</v>
      </c>
      <c r="E46" s="197"/>
      <c r="F46" s="198"/>
      <c r="G46" s="198">
        <f t="shared" ref="G46:Q46" si="3">SUM(G40:G45)</f>
        <v>150</v>
      </c>
      <c r="H46" s="198">
        <f t="shared" si="3"/>
        <v>4750</v>
      </c>
      <c r="I46" s="198">
        <f t="shared" si="3"/>
        <v>32914</v>
      </c>
      <c r="J46" s="198">
        <f t="shared" si="3"/>
        <v>90976</v>
      </c>
      <c r="K46" s="198">
        <f t="shared" si="3"/>
        <v>3100</v>
      </c>
      <c r="L46" s="198">
        <f t="shared" si="3"/>
        <v>0</v>
      </c>
      <c r="M46" s="198">
        <f t="shared" si="3"/>
        <v>0</v>
      </c>
      <c r="N46" s="198">
        <f t="shared" si="3"/>
        <v>27219</v>
      </c>
      <c r="O46" s="198">
        <f t="shared" si="3"/>
        <v>0</v>
      </c>
      <c r="P46" s="198">
        <f t="shared" si="3"/>
        <v>0</v>
      </c>
      <c r="Q46" s="198">
        <f t="shared" si="3"/>
        <v>159109</v>
      </c>
    </row>
    <row r="47" spans="1:17" ht="12" customHeight="1" x14ac:dyDescent="0.25">
      <c r="A47" s="172">
        <v>1</v>
      </c>
      <c r="B47" s="172">
        <v>13</v>
      </c>
      <c r="C47" s="172"/>
      <c r="D47" s="174" t="s">
        <v>102</v>
      </c>
      <c r="E47" s="201" t="s">
        <v>360</v>
      </c>
      <c r="F47" s="202"/>
      <c r="G47" s="202"/>
      <c r="H47" s="177"/>
      <c r="I47" s="177"/>
      <c r="J47" s="177"/>
      <c r="K47" s="177"/>
      <c r="L47" s="177"/>
      <c r="M47" s="202"/>
      <c r="N47" s="202"/>
      <c r="O47" s="202"/>
      <c r="P47" s="202"/>
      <c r="Q47" s="202"/>
    </row>
    <row r="48" spans="1:17" ht="12" x14ac:dyDescent="0.25">
      <c r="A48" s="172"/>
      <c r="B48" s="172"/>
      <c r="C48" s="188"/>
      <c r="D48" s="203" t="s">
        <v>361</v>
      </c>
      <c r="E48" s="201"/>
      <c r="F48" s="202"/>
      <c r="G48" s="202"/>
      <c r="H48" s="177"/>
      <c r="I48" s="177"/>
      <c r="J48" s="177"/>
      <c r="K48" s="177"/>
      <c r="L48" s="177"/>
      <c r="M48" s="202"/>
      <c r="N48" s="202"/>
      <c r="O48" s="202"/>
      <c r="P48" s="202"/>
      <c r="Q48" s="202"/>
    </row>
    <row r="49" spans="1:17" ht="12" customHeight="1" x14ac:dyDescent="0.25">
      <c r="A49" s="172"/>
      <c r="B49" s="172"/>
      <c r="C49" s="188"/>
      <c r="D49" s="185" t="s">
        <v>362</v>
      </c>
      <c r="E49" s="204"/>
      <c r="F49" s="183"/>
      <c r="G49" s="151"/>
      <c r="H49" s="177"/>
      <c r="I49" s="177"/>
      <c r="J49" s="177"/>
      <c r="K49" s="177"/>
      <c r="L49" s="177"/>
      <c r="M49" s="151"/>
      <c r="N49" s="151"/>
      <c r="O49" s="151"/>
      <c r="P49" s="151"/>
      <c r="Q49" s="151"/>
    </row>
    <row r="50" spans="1:17" ht="27" customHeight="1" x14ac:dyDescent="0.25">
      <c r="A50" s="172"/>
      <c r="B50" s="172"/>
      <c r="C50" s="188"/>
      <c r="D50" s="193" t="s">
        <v>363</v>
      </c>
      <c r="E50" s="151">
        <v>2</v>
      </c>
      <c r="F50" s="151">
        <v>131112</v>
      </c>
      <c r="G50" s="151"/>
      <c r="H50" s="151"/>
      <c r="I50" s="151"/>
      <c r="J50" s="151"/>
      <c r="K50" s="151">
        <f>12000+táj2!K50</f>
        <v>12000</v>
      </c>
      <c r="L50" s="151"/>
      <c r="M50" s="151"/>
      <c r="N50" s="151"/>
      <c r="O50" s="151"/>
      <c r="P50" s="151"/>
      <c r="Q50" s="151">
        <f t="shared" ref="Q50:Q56" si="4">SUM(G50:P50)</f>
        <v>12000</v>
      </c>
    </row>
    <row r="51" spans="1:17" ht="24.75" customHeight="1" x14ac:dyDescent="0.25">
      <c r="A51" s="172"/>
      <c r="B51" s="172"/>
      <c r="C51" s="188"/>
      <c r="D51" s="205" t="s">
        <v>364</v>
      </c>
      <c r="E51" s="151">
        <v>2</v>
      </c>
      <c r="F51" s="151">
        <v>131123</v>
      </c>
      <c r="G51" s="151"/>
      <c r="H51" s="151"/>
      <c r="I51" s="151"/>
      <c r="J51" s="151"/>
      <c r="K51" s="151">
        <f>3000+táj2!K51</f>
        <v>3000</v>
      </c>
      <c r="L51" s="151"/>
      <c r="M51" s="151"/>
      <c r="N51" s="151"/>
      <c r="O51" s="151"/>
      <c r="P51" s="151"/>
      <c r="Q51" s="151">
        <f t="shared" si="4"/>
        <v>3000</v>
      </c>
    </row>
    <row r="52" spans="1:17" ht="16.2" customHeight="1" x14ac:dyDescent="0.25">
      <c r="A52" s="172"/>
      <c r="B52" s="172"/>
      <c r="C52" s="188"/>
      <c r="D52" s="205" t="s">
        <v>1020</v>
      </c>
      <c r="E52" s="151">
        <v>2</v>
      </c>
      <c r="F52" s="151">
        <v>131212</v>
      </c>
      <c r="G52" s="151">
        <f>423+táj2!G52</f>
        <v>423</v>
      </c>
      <c r="H52" s="151">
        <f>127+táj2!H52</f>
        <v>127</v>
      </c>
      <c r="I52" s="151">
        <f>200+táj2!I52</f>
        <v>200</v>
      </c>
      <c r="J52" s="151"/>
      <c r="K52" s="151"/>
      <c r="L52" s="151"/>
      <c r="M52" s="151"/>
      <c r="N52" s="151"/>
      <c r="O52" s="151"/>
      <c r="P52" s="151"/>
      <c r="Q52" s="151">
        <f t="shared" si="4"/>
        <v>750</v>
      </c>
    </row>
    <row r="53" spans="1:17" ht="14.4" customHeight="1" x14ac:dyDescent="0.25">
      <c r="A53" s="172"/>
      <c r="B53" s="172"/>
      <c r="C53" s="188"/>
      <c r="D53" s="205" t="s">
        <v>365</v>
      </c>
      <c r="E53" s="151">
        <v>2</v>
      </c>
      <c r="F53" s="151">
        <v>131122</v>
      </c>
      <c r="G53" s="151">
        <f>1180+táj2!G53</f>
        <v>1180</v>
      </c>
      <c r="H53" s="151">
        <f>470+táj2!H53</f>
        <v>470</v>
      </c>
      <c r="I53" s="151"/>
      <c r="J53" s="151"/>
      <c r="K53" s="151">
        <f>350+táj2!K53</f>
        <v>350</v>
      </c>
      <c r="L53" s="151"/>
      <c r="M53" s="151"/>
      <c r="N53" s="151"/>
      <c r="O53" s="151"/>
      <c r="P53" s="151"/>
      <c r="Q53" s="151">
        <f t="shared" si="4"/>
        <v>2000</v>
      </c>
    </row>
    <row r="54" spans="1:17" ht="22.5" customHeight="1" x14ac:dyDescent="0.25">
      <c r="A54" s="172"/>
      <c r="B54" s="172"/>
      <c r="C54" s="188"/>
      <c r="D54" s="205" t="s">
        <v>885</v>
      </c>
      <c r="E54" s="151">
        <v>2</v>
      </c>
      <c r="F54" s="151">
        <v>131124</v>
      </c>
      <c r="G54" s="151"/>
      <c r="H54" s="151"/>
      <c r="I54" s="151">
        <f>650+táj2!I54</f>
        <v>650</v>
      </c>
      <c r="J54" s="151"/>
      <c r="K54" s="151"/>
      <c r="L54" s="151"/>
      <c r="M54" s="151"/>
      <c r="N54" s="151"/>
      <c r="O54" s="151"/>
      <c r="P54" s="151"/>
      <c r="Q54" s="151">
        <f t="shared" si="4"/>
        <v>650</v>
      </c>
    </row>
    <row r="55" spans="1:17" ht="15" customHeight="1" x14ac:dyDescent="0.25">
      <c r="A55" s="172"/>
      <c r="B55" s="172"/>
      <c r="C55" s="188"/>
      <c r="D55" s="186" t="s">
        <v>366</v>
      </c>
      <c r="E55" s="151">
        <v>2</v>
      </c>
      <c r="F55" s="151">
        <v>131107</v>
      </c>
      <c r="G55" s="151"/>
      <c r="H55" s="151"/>
      <c r="I55" s="151"/>
      <c r="J55" s="151"/>
      <c r="K55" s="151">
        <f>60000+táj2!K55</f>
        <v>60000</v>
      </c>
      <c r="L55" s="151"/>
      <c r="M55" s="151"/>
      <c r="N55" s="151"/>
      <c r="O55" s="151"/>
      <c r="P55" s="151"/>
      <c r="Q55" s="151">
        <f t="shared" si="4"/>
        <v>60000</v>
      </c>
    </row>
    <row r="56" spans="1:17" ht="15" customHeight="1" x14ac:dyDescent="0.25">
      <c r="A56" s="172"/>
      <c r="B56" s="172"/>
      <c r="C56" s="188"/>
      <c r="D56" s="186" t="s">
        <v>367</v>
      </c>
      <c r="E56" s="151">
        <v>2</v>
      </c>
      <c r="F56" s="151">
        <v>131128</v>
      </c>
      <c r="G56" s="151"/>
      <c r="H56" s="151"/>
      <c r="I56" s="151"/>
      <c r="J56" s="151"/>
      <c r="K56" s="151">
        <f>9200+táj2!K56</f>
        <v>9200</v>
      </c>
      <c r="L56" s="151"/>
      <c r="M56" s="151"/>
      <c r="N56" s="151"/>
      <c r="O56" s="151"/>
      <c r="P56" s="151"/>
      <c r="Q56" s="151">
        <f t="shared" si="4"/>
        <v>9200</v>
      </c>
    </row>
    <row r="57" spans="1:17" ht="14.1" customHeight="1" x14ac:dyDescent="0.25">
      <c r="A57" s="172"/>
      <c r="B57" s="172"/>
      <c r="C57" s="188"/>
      <c r="D57" s="206" t="s">
        <v>368</v>
      </c>
      <c r="E57" s="207"/>
      <c r="F57" s="207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</row>
    <row r="58" spans="1:17" ht="24.9" customHeight="1" x14ac:dyDescent="0.25">
      <c r="A58" s="172"/>
      <c r="B58" s="172"/>
      <c r="C58" s="188"/>
      <c r="D58" s="205" t="s">
        <v>369</v>
      </c>
      <c r="E58" s="208"/>
      <c r="F58" s="208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</row>
    <row r="59" spans="1:17" ht="15" customHeight="1" x14ac:dyDescent="0.25">
      <c r="A59" s="172"/>
      <c r="B59" s="172"/>
      <c r="C59" s="188"/>
      <c r="D59" s="186" t="s">
        <v>370</v>
      </c>
      <c r="E59" s="151">
        <v>2</v>
      </c>
      <c r="F59" s="151">
        <v>131201</v>
      </c>
      <c r="G59" s="151">
        <f>200+táj2!G59</f>
        <v>200</v>
      </c>
      <c r="H59" s="151">
        <f>80+táj2!H59</f>
        <v>80</v>
      </c>
      <c r="I59" s="151">
        <f>1420+táj2!I59</f>
        <v>1420</v>
      </c>
      <c r="J59" s="151"/>
      <c r="K59" s="151"/>
      <c r="L59" s="151"/>
      <c r="M59" s="151"/>
      <c r="N59" s="151"/>
      <c r="O59" s="151"/>
      <c r="P59" s="151"/>
      <c r="Q59" s="151">
        <f t="shared" ref="Q59:Q64" si="5">SUM(G59:P59)</f>
        <v>1700</v>
      </c>
    </row>
    <row r="60" spans="1:17" ht="15" customHeight="1" x14ac:dyDescent="0.25">
      <c r="A60" s="172"/>
      <c r="B60" s="172"/>
      <c r="C60" s="188"/>
      <c r="D60" s="186" t="s">
        <v>371</v>
      </c>
      <c r="E60" s="151">
        <v>2</v>
      </c>
      <c r="F60" s="151">
        <v>131202</v>
      </c>
      <c r="G60" s="151">
        <f>200+táj2!G60</f>
        <v>200</v>
      </c>
      <c r="H60" s="151">
        <f>80+táj2!H60</f>
        <v>80</v>
      </c>
      <c r="I60" s="151">
        <f>470+táj2!I60</f>
        <v>470</v>
      </c>
      <c r="J60" s="151"/>
      <c r="K60" s="151"/>
      <c r="L60" s="151"/>
      <c r="M60" s="151"/>
      <c r="N60" s="151"/>
      <c r="O60" s="151"/>
      <c r="P60" s="151"/>
      <c r="Q60" s="151">
        <f t="shared" si="5"/>
        <v>750</v>
      </c>
    </row>
    <row r="61" spans="1:17" ht="15" customHeight="1" x14ac:dyDescent="0.25">
      <c r="A61" s="172"/>
      <c r="B61" s="172"/>
      <c r="C61" s="188"/>
      <c r="D61" s="186" t="s">
        <v>372</v>
      </c>
      <c r="E61" s="151">
        <v>2</v>
      </c>
      <c r="F61" s="151">
        <v>131205</v>
      </c>
      <c r="G61" s="151"/>
      <c r="H61" s="151"/>
      <c r="I61" s="151"/>
      <c r="J61" s="151"/>
      <c r="K61" s="151">
        <f>2000+táj2!K61</f>
        <v>2000</v>
      </c>
      <c r="L61" s="151"/>
      <c r="M61" s="151"/>
      <c r="N61" s="151"/>
      <c r="O61" s="151"/>
      <c r="P61" s="151"/>
      <c r="Q61" s="151">
        <f t="shared" si="5"/>
        <v>2000</v>
      </c>
    </row>
    <row r="62" spans="1:17" ht="15" customHeight="1" x14ac:dyDescent="0.25">
      <c r="A62" s="172"/>
      <c r="B62" s="172"/>
      <c r="C62" s="188"/>
      <c r="D62" s="186" t="s">
        <v>373</v>
      </c>
      <c r="E62" s="151">
        <v>2</v>
      </c>
      <c r="F62" s="151">
        <v>131206</v>
      </c>
      <c r="G62" s="151"/>
      <c r="H62" s="151"/>
      <c r="I62" s="151"/>
      <c r="J62" s="151"/>
      <c r="K62" s="151">
        <f>800+táj2!K62</f>
        <v>800</v>
      </c>
      <c r="L62" s="151"/>
      <c r="M62" s="151"/>
      <c r="N62" s="151"/>
      <c r="O62" s="151"/>
      <c r="P62" s="151"/>
      <c r="Q62" s="151">
        <f t="shared" si="5"/>
        <v>800</v>
      </c>
    </row>
    <row r="63" spans="1:17" ht="15" customHeight="1" x14ac:dyDescent="0.25">
      <c r="A63" s="172"/>
      <c r="B63" s="172"/>
      <c r="C63" s="188"/>
      <c r="D63" s="185" t="s">
        <v>374</v>
      </c>
      <c r="E63" s="151">
        <v>2</v>
      </c>
      <c r="F63" s="151">
        <v>131209</v>
      </c>
      <c r="G63" s="151">
        <f>150+táj2!G63</f>
        <v>150</v>
      </c>
      <c r="H63" s="151">
        <f>61+táj2!H63</f>
        <v>61</v>
      </c>
      <c r="I63" s="151">
        <f>489+táj2!I63</f>
        <v>489</v>
      </c>
      <c r="J63" s="151"/>
      <c r="K63" s="151"/>
      <c r="L63" s="151"/>
      <c r="M63" s="151"/>
      <c r="N63" s="151"/>
      <c r="O63" s="151"/>
      <c r="P63" s="151"/>
      <c r="Q63" s="151">
        <f t="shared" si="5"/>
        <v>700</v>
      </c>
    </row>
    <row r="64" spans="1:17" ht="15" customHeight="1" x14ac:dyDescent="0.25">
      <c r="A64" s="172"/>
      <c r="B64" s="172"/>
      <c r="C64" s="188"/>
      <c r="D64" s="186" t="s">
        <v>375</v>
      </c>
      <c r="E64" s="151">
        <v>2</v>
      </c>
      <c r="F64" s="151">
        <v>131211</v>
      </c>
      <c r="G64" s="151"/>
      <c r="H64" s="151"/>
      <c r="I64" s="151">
        <f>965+táj2!I64</f>
        <v>965</v>
      </c>
      <c r="J64" s="151"/>
      <c r="K64" s="151"/>
      <c r="L64" s="151"/>
      <c r="M64" s="151"/>
      <c r="N64" s="151"/>
      <c r="O64" s="151"/>
      <c r="P64" s="151"/>
      <c r="Q64" s="151">
        <f t="shared" si="5"/>
        <v>965</v>
      </c>
    </row>
    <row r="65" spans="1:17" ht="14.1" customHeight="1" x14ac:dyDescent="0.25">
      <c r="A65" s="172"/>
      <c r="B65" s="172"/>
      <c r="C65" s="188"/>
      <c r="D65" s="186" t="s">
        <v>339</v>
      </c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  <c r="Q65" s="151"/>
    </row>
    <row r="66" spans="1:17" ht="14.1" customHeight="1" x14ac:dyDescent="0.25">
      <c r="A66" s="172"/>
      <c r="B66" s="172"/>
      <c r="C66" s="188"/>
      <c r="D66" s="185" t="s">
        <v>376</v>
      </c>
      <c r="E66" s="151">
        <v>2</v>
      </c>
      <c r="F66" s="151">
        <v>131101</v>
      </c>
      <c r="G66" s="151"/>
      <c r="H66" s="151"/>
      <c r="I66" s="151"/>
      <c r="J66" s="151">
        <f>5500+táj2!J66</f>
        <v>5500</v>
      </c>
      <c r="K66" s="151">
        <f>6500+táj2!K66</f>
        <v>6500</v>
      </c>
      <c r="L66" s="151"/>
      <c r="M66" s="151"/>
      <c r="N66" s="151"/>
      <c r="O66" s="151"/>
      <c r="P66" s="151"/>
      <c r="Q66" s="151">
        <f>SUM(G66:P66)</f>
        <v>12000</v>
      </c>
    </row>
    <row r="67" spans="1:17" ht="14.1" customHeight="1" x14ac:dyDescent="0.25">
      <c r="A67" s="172"/>
      <c r="B67" s="172"/>
      <c r="C67" s="188"/>
      <c r="D67" s="185" t="s">
        <v>377</v>
      </c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  <c r="Q67" s="151"/>
    </row>
    <row r="68" spans="1:17" ht="14.1" customHeight="1" x14ac:dyDescent="0.25">
      <c r="A68" s="172"/>
      <c r="B68" s="172"/>
      <c r="C68" s="188"/>
      <c r="D68" s="186" t="s">
        <v>378</v>
      </c>
      <c r="E68" s="151">
        <v>2</v>
      </c>
      <c r="F68" s="151">
        <v>131120</v>
      </c>
      <c r="G68" s="151"/>
      <c r="H68" s="151"/>
      <c r="I68" s="151">
        <f>150+táj2!I68</f>
        <v>150</v>
      </c>
      <c r="J68" s="151"/>
      <c r="K68" s="151"/>
      <c r="L68" s="151"/>
      <c r="M68" s="151"/>
      <c r="N68" s="151"/>
      <c r="O68" s="151"/>
      <c r="P68" s="151"/>
      <c r="Q68" s="151">
        <f>SUM(G68:P68)</f>
        <v>150</v>
      </c>
    </row>
    <row r="69" spans="1:17" ht="14.1" customHeight="1" x14ac:dyDescent="0.25">
      <c r="A69" s="172"/>
      <c r="B69" s="172"/>
      <c r="C69" s="188"/>
      <c r="D69" s="186" t="s">
        <v>379</v>
      </c>
      <c r="E69" s="183"/>
      <c r="F69" s="183"/>
      <c r="G69" s="151"/>
      <c r="H69" s="151"/>
      <c r="I69" s="151"/>
      <c r="J69" s="151"/>
      <c r="K69" s="151"/>
      <c r="L69" s="151"/>
      <c r="M69" s="151"/>
      <c r="N69" s="151"/>
      <c r="O69" s="151"/>
      <c r="P69" s="151"/>
      <c r="Q69" s="151"/>
    </row>
    <row r="70" spans="1:17" ht="14.1" customHeight="1" x14ac:dyDescent="0.25">
      <c r="A70" s="172"/>
      <c r="B70" s="172"/>
      <c r="C70" s="188"/>
      <c r="D70" s="186" t="s">
        <v>380</v>
      </c>
      <c r="E70" s="151">
        <v>2</v>
      </c>
      <c r="F70" s="151">
        <v>131346</v>
      </c>
      <c r="G70" s="151">
        <f>0+táj2!G70</f>
        <v>412</v>
      </c>
      <c r="H70" s="151">
        <f>0+táj2!H70</f>
        <v>54</v>
      </c>
      <c r="I70" s="151"/>
      <c r="J70" s="151"/>
      <c r="K70" s="151">
        <f>1400+táj2!K70</f>
        <v>934</v>
      </c>
      <c r="L70" s="151"/>
      <c r="M70" s="151"/>
      <c r="N70" s="151"/>
      <c r="O70" s="151"/>
      <c r="P70" s="151"/>
      <c r="Q70" s="151">
        <f t="shared" ref="Q70:Q84" si="6">SUM(G70:P70)</f>
        <v>1400</v>
      </c>
    </row>
    <row r="71" spans="1:17" ht="14.1" customHeight="1" x14ac:dyDescent="0.25">
      <c r="A71" s="172"/>
      <c r="B71" s="172"/>
      <c r="C71" s="188"/>
      <c r="D71" s="186" t="s">
        <v>381</v>
      </c>
      <c r="E71" s="151">
        <v>2</v>
      </c>
      <c r="F71" s="151">
        <v>131305</v>
      </c>
      <c r="G71" s="151"/>
      <c r="H71" s="151"/>
      <c r="I71" s="151"/>
      <c r="J71" s="151"/>
      <c r="K71" s="151">
        <f>1500+táj2!K71</f>
        <v>1500</v>
      </c>
      <c r="L71" s="151"/>
      <c r="M71" s="151"/>
      <c r="N71" s="151"/>
      <c r="O71" s="151"/>
      <c r="P71" s="151"/>
      <c r="Q71" s="151">
        <f t="shared" si="6"/>
        <v>1500</v>
      </c>
    </row>
    <row r="72" spans="1:17" ht="14.1" customHeight="1" x14ac:dyDescent="0.25">
      <c r="A72" s="172"/>
      <c r="B72" s="172"/>
      <c r="C72" s="188"/>
      <c r="D72" s="186" t="s">
        <v>382</v>
      </c>
      <c r="E72" s="151">
        <v>2</v>
      </c>
      <c r="F72" s="151">
        <v>131306</v>
      </c>
      <c r="G72" s="151"/>
      <c r="H72" s="151"/>
      <c r="I72" s="151"/>
      <c r="J72" s="151"/>
      <c r="K72" s="151">
        <f>700+táj2!K72</f>
        <v>700</v>
      </c>
      <c r="L72" s="151"/>
      <c r="M72" s="151"/>
      <c r="N72" s="151"/>
      <c r="O72" s="151"/>
      <c r="P72" s="151"/>
      <c r="Q72" s="151">
        <f t="shared" si="6"/>
        <v>700</v>
      </c>
    </row>
    <row r="73" spans="1:17" ht="14.1" customHeight="1" x14ac:dyDescent="0.25">
      <c r="A73" s="172"/>
      <c r="B73" s="172"/>
      <c r="C73" s="188"/>
      <c r="D73" s="193" t="s">
        <v>383</v>
      </c>
      <c r="E73" s="151">
        <v>2</v>
      </c>
      <c r="F73" s="151">
        <v>131325</v>
      </c>
      <c r="G73" s="151"/>
      <c r="H73" s="151"/>
      <c r="I73" s="151">
        <f>1553+táj2!I73</f>
        <v>1553</v>
      </c>
      <c r="J73" s="151"/>
      <c r="K73" s="151"/>
      <c r="L73" s="151"/>
      <c r="M73" s="151"/>
      <c r="N73" s="151"/>
      <c r="O73" s="151"/>
      <c r="P73" s="151"/>
      <c r="Q73" s="151">
        <f t="shared" si="6"/>
        <v>1553</v>
      </c>
    </row>
    <row r="74" spans="1:17" ht="14.1" customHeight="1" x14ac:dyDescent="0.25">
      <c r="A74" s="172"/>
      <c r="B74" s="172"/>
      <c r="C74" s="188"/>
      <c r="D74" s="193" t="s">
        <v>863</v>
      </c>
      <c r="E74" s="151">
        <v>2</v>
      </c>
      <c r="F74" s="151">
        <v>131321</v>
      </c>
      <c r="G74" s="151"/>
      <c r="H74" s="151"/>
      <c r="I74" s="151"/>
      <c r="J74" s="151"/>
      <c r="K74" s="151">
        <f>71000+táj2!K74</f>
        <v>71000</v>
      </c>
      <c r="L74" s="151"/>
      <c r="M74" s="151"/>
      <c r="N74" s="151"/>
      <c r="O74" s="151"/>
      <c r="P74" s="151"/>
      <c r="Q74" s="151">
        <f t="shared" si="6"/>
        <v>71000</v>
      </c>
    </row>
    <row r="75" spans="1:17" ht="23.25" customHeight="1" x14ac:dyDescent="0.25">
      <c r="A75" s="172"/>
      <c r="B75" s="172"/>
      <c r="C75" s="188"/>
      <c r="D75" s="193" t="s">
        <v>384</v>
      </c>
      <c r="E75" s="151">
        <v>2</v>
      </c>
      <c r="F75" s="151">
        <v>131313</v>
      </c>
      <c r="G75" s="151"/>
      <c r="H75" s="151"/>
      <c r="I75" s="151"/>
      <c r="J75" s="151"/>
      <c r="K75" s="151">
        <f>33800+táj2!K75</f>
        <v>33800</v>
      </c>
      <c r="L75" s="151"/>
      <c r="M75" s="151"/>
      <c r="N75" s="151"/>
      <c r="O75" s="151"/>
      <c r="P75" s="151"/>
      <c r="Q75" s="151">
        <f t="shared" si="6"/>
        <v>33800</v>
      </c>
    </row>
    <row r="76" spans="1:17" ht="14.1" customHeight="1" x14ac:dyDescent="0.25">
      <c r="A76" s="172"/>
      <c r="B76" s="172"/>
      <c r="C76" s="188"/>
      <c r="D76" s="205" t="s">
        <v>385</v>
      </c>
      <c r="E76" s="151">
        <v>2</v>
      </c>
      <c r="F76" s="151">
        <v>131501</v>
      </c>
      <c r="G76" s="268"/>
      <c r="H76" s="151"/>
      <c r="I76" s="151">
        <f>250+táj2!I76</f>
        <v>250</v>
      </c>
      <c r="J76" s="151"/>
      <c r="K76" s="151"/>
      <c r="L76" s="151"/>
      <c r="M76" s="151"/>
      <c r="N76" s="151"/>
      <c r="O76" s="151"/>
      <c r="P76" s="151"/>
      <c r="Q76" s="151">
        <f t="shared" si="6"/>
        <v>250</v>
      </c>
    </row>
    <row r="77" spans="1:17" ht="14.1" customHeight="1" x14ac:dyDescent="0.25">
      <c r="A77" s="172"/>
      <c r="B77" s="172"/>
      <c r="C77" s="188"/>
      <c r="D77" s="205" t="s">
        <v>386</v>
      </c>
      <c r="E77" s="151">
        <v>2</v>
      </c>
      <c r="F77" s="151">
        <v>131307</v>
      </c>
      <c r="G77" s="151"/>
      <c r="H77" s="151"/>
      <c r="I77" s="151"/>
      <c r="J77" s="151"/>
      <c r="K77" s="151">
        <f>600+táj2!K77</f>
        <v>600</v>
      </c>
      <c r="L77" s="151"/>
      <c r="M77" s="151"/>
      <c r="N77" s="151"/>
      <c r="O77" s="151"/>
      <c r="P77" s="151"/>
      <c r="Q77" s="151">
        <f t="shared" si="6"/>
        <v>600</v>
      </c>
    </row>
    <row r="78" spans="1:17" ht="15" customHeight="1" x14ac:dyDescent="0.25">
      <c r="A78" s="172"/>
      <c r="B78" s="172"/>
      <c r="C78" s="188"/>
      <c r="D78" s="347" t="s">
        <v>387</v>
      </c>
      <c r="E78" s="151">
        <v>2</v>
      </c>
      <c r="F78" s="151">
        <v>131340</v>
      </c>
      <c r="G78" s="151"/>
      <c r="H78" s="151"/>
      <c r="I78" s="151"/>
      <c r="J78" s="151"/>
      <c r="K78" s="151">
        <f>400+táj2!K78</f>
        <v>400</v>
      </c>
      <c r="L78" s="151"/>
      <c r="M78" s="151"/>
      <c r="N78" s="151"/>
      <c r="O78" s="151"/>
      <c r="P78" s="151"/>
      <c r="Q78" s="151">
        <f t="shared" si="6"/>
        <v>400</v>
      </c>
    </row>
    <row r="79" spans="1:17" ht="15" customHeight="1" x14ac:dyDescent="0.25">
      <c r="A79" s="172"/>
      <c r="B79" s="172"/>
      <c r="C79" s="188"/>
      <c r="D79" s="348" t="s">
        <v>886</v>
      </c>
      <c r="E79" s="151">
        <v>2</v>
      </c>
      <c r="F79" s="151">
        <v>131343</v>
      </c>
      <c r="G79" s="151"/>
      <c r="H79" s="151"/>
      <c r="I79" s="151"/>
      <c r="J79" s="151"/>
      <c r="K79" s="151">
        <f>400+táj2!K79</f>
        <v>400</v>
      </c>
      <c r="L79" s="151"/>
      <c r="M79" s="151"/>
      <c r="N79" s="151"/>
      <c r="O79" s="151"/>
      <c r="P79" s="151"/>
      <c r="Q79" s="151">
        <f t="shared" si="6"/>
        <v>400</v>
      </c>
    </row>
    <row r="80" spans="1:17" ht="15" customHeight="1" x14ac:dyDescent="0.25">
      <c r="A80" s="172"/>
      <c r="B80" s="172"/>
      <c r="C80" s="188"/>
      <c r="D80" s="348" t="s">
        <v>1106</v>
      </c>
      <c r="E80" s="151">
        <v>2</v>
      </c>
      <c r="F80" s="151">
        <v>131310</v>
      </c>
      <c r="G80" s="151"/>
      <c r="H80" s="151"/>
      <c r="I80" s="151"/>
      <c r="J80" s="151"/>
      <c r="K80" s="151">
        <f>500+táj2!K80</f>
        <v>500</v>
      </c>
      <c r="L80" s="151"/>
      <c r="M80" s="151"/>
      <c r="N80" s="151"/>
      <c r="O80" s="151"/>
      <c r="P80" s="151"/>
      <c r="Q80" s="151">
        <f t="shared" si="6"/>
        <v>500</v>
      </c>
    </row>
    <row r="81" spans="1:17" ht="15" customHeight="1" x14ac:dyDescent="0.25">
      <c r="A81" s="172"/>
      <c r="B81" s="172"/>
      <c r="C81" s="188"/>
      <c r="D81" s="348" t="s">
        <v>867</v>
      </c>
      <c r="E81" s="151">
        <v>2</v>
      </c>
      <c r="F81" s="151">
        <v>131315</v>
      </c>
      <c r="G81" s="151"/>
      <c r="H81" s="151"/>
      <c r="I81" s="151"/>
      <c r="J81" s="151"/>
      <c r="K81" s="151">
        <f>2000+táj2!K81</f>
        <v>2000</v>
      </c>
      <c r="L81" s="151"/>
      <c r="M81" s="151"/>
      <c r="N81" s="151"/>
      <c r="O81" s="151"/>
      <c r="P81" s="151"/>
      <c r="Q81" s="151">
        <f t="shared" si="6"/>
        <v>2000</v>
      </c>
    </row>
    <row r="82" spans="1:17" ht="15" customHeight="1" x14ac:dyDescent="0.25">
      <c r="A82" s="172"/>
      <c r="B82" s="172"/>
      <c r="C82" s="188"/>
      <c r="D82" s="348" t="s">
        <v>887</v>
      </c>
      <c r="E82" s="151">
        <v>2</v>
      </c>
      <c r="F82" s="151">
        <v>131314</v>
      </c>
      <c r="G82" s="151"/>
      <c r="H82" s="151"/>
      <c r="I82" s="151"/>
      <c r="J82" s="151"/>
      <c r="K82" s="151">
        <f>1500+táj2!K82</f>
        <v>1500</v>
      </c>
      <c r="L82" s="151"/>
      <c r="M82" s="151"/>
      <c r="N82" s="151"/>
      <c r="O82" s="151"/>
      <c r="P82" s="151"/>
      <c r="Q82" s="151">
        <f t="shared" si="6"/>
        <v>1500</v>
      </c>
    </row>
    <row r="83" spans="1:17" ht="15" customHeight="1" x14ac:dyDescent="0.25">
      <c r="A83" s="172"/>
      <c r="B83" s="172"/>
      <c r="C83" s="188"/>
      <c r="D83" s="347" t="s">
        <v>388</v>
      </c>
      <c r="E83" s="151">
        <v>2</v>
      </c>
      <c r="F83" s="151">
        <v>131348</v>
      </c>
      <c r="G83" s="151"/>
      <c r="H83" s="151"/>
      <c r="I83" s="151"/>
      <c r="J83" s="151"/>
      <c r="K83" s="151">
        <f>2500+táj2!K83</f>
        <v>2500</v>
      </c>
      <c r="L83" s="151"/>
      <c r="M83" s="151"/>
      <c r="N83" s="151"/>
      <c r="O83" s="151"/>
      <c r="P83" s="151"/>
      <c r="Q83" s="151">
        <f t="shared" si="6"/>
        <v>2500</v>
      </c>
    </row>
    <row r="84" spans="1:17" ht="23.25" customHeight="1" x14ac:dyDescent="0.25">
      <c r="A84" s="172"/>
      <c r="B84" s="172"/>
      <c r="C84" s="188"/>
      <c r="D84" s="349" t="s">
        <v>389</v>
      </c>
      <c r="E84" s="151">
        <v>2</v>
      </c>
      <c r="F84" s="151">
        <v>131345</v>
      </c>
      <c r="G84" s="151"/>
      <c r="H84" s="151"/>
      <c r="I84" s="151"/>
      <c r="J84" s="151"/>
      <c r="K84" s="151">
        <f>200+táj2!K84</f>
        <v>200</v>
      </c>
      <c r="L84" s="151"/>
      <c r="M84" s="151"/>
      <c r="N84" s="151"/>
      <c r="O84" s="151"/>
      <c r="P84" s="151"/>
      <c r="Q84" s="151">
        <f t="shared" si="6"/>
        <v>200</v>
      </c>
    </row>
    <row r="85" spans="1:17" ht="14.1" customHeight="1" x14ac:dyDescent="0.25">
      <c r="A85" s="172"/>
      <c r="B85" s="172"/>
      <c r="C85" s="188"/>
      <c r="D85" s="151" t="s">
        <v>390</v>
      </c>
      <c r="E85" s="204"/>
      <c r="F85" s="183"/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51"/>
    </row>
    <row r="86" spans="1:17" ht="24.9" customHeight="1" x14ac:dyDescent="0.25">
      <c r="A86" s="172"/>
      <c r="B86" s="172"/>
      <c r="C86" s="188"/>
      <c r="D86" s="193" t="s">
        <v>391</v>
      </c>
      <c r="E86" s="183">
        <v>2</v>
      </c>
      <c r="F86" s="151">
        <v>131401</v>
      </c>
      <c r="G86" s="151"/>
      <c r="H86" s="151"/>
      <c r="I86" s="151"/>
      <c r="J86" s="151"/>
      <c r="K86" s="151">
        <f>1800+táj2!K86</f>
        <v>1800</v>
      </c>
      <c r="L86" s="151"/>
      <c r="M86" s="151"/>
      <c r="N86" s="151"/>
      <c r="O86" s="151"/>
      <c r="P86" s="151"/>
      <c r="Q86" s="151">
        <f t="shared" ref="Q86:Q93" si="7">SUM(G86:P86)</f>
        <v>1800</v>
      </c>
    </row>
    <row r="87" spans="1:17" ht="14.1" customHeight="1" x14ac:dyDescent="0.25">
      <c r="A87" s="172"/>
      <c r="B87" s="172"/>
      <c r="C87" s="350"/>
      <c r="D87" s="351" t="s">
        <v>392</v>
      </c>
      <c r="E87" s="183">
        <v>2</v>
      </c>
      <c r="F87" s="151">
        <v>131402</v>
      </c>
      <c r="G87" s="151"/>
      <c r="H87" s="151"/>
      <c r="I87" s="151"/>
      <c r="J87" s="151"/>
      <c r="K87" s="151">
        <f>5000+táj2!K87</f>
        <v>5000</v>
      </c>
      <c r="L87" s="151"/>
      <c r="M87" s="151"/>
      <c r="N87" s="151"/>
      <c r="O87" s="151"/>
      <c r="P87" s="151"/>
      <c r="Q87" s="151">
        <f t="shared" si="7"/>
        <v>5000</v>
      </c>
    </row>
    <row r="88" spans="1:17" ht="14.1" customHeight="1" x14ac:dyDescent="0.25">
      <c r="A88" s="172"/>
      <c r="B88" s="172"/>
      <c r="C88" s="188"/>
      <c r="D88" s="186" t="s">
        <v>393</v>
      </c>
      <c r="E88" s="183">
        <v>2</v>
      </c>
      <c r="F88" s="151">
        <v>131403</v>
      </c>
      <c r="G88" s="151"/>
      <c r="H88" s="151"/>
      <c r="I88" s="151"/>
      <c r="J88" s="151"/>
      <c r="K88" s="151">
        <f>5250+táj2!K88</f>
        <v>5250</v>
      </c>
      <c r="L88" s="151"/>
      <c r="M88" s="151"/>
      <c r="N88" s="151"/>
      <c r="O88" s="151"/>
      <c r="P88" s="151"/>
      <c r="Q88" s="151">
        <f t="shared" si="7"/>
        <v>5250</v>
      </c>
    </row>
    <row r="89" spans="1:17" ht="14.1" customHeight="1" x14ac:dyDescent="0.25">
      <c r="A89" s="172"/>
      <c r="B89" s="172"/>
      <c r="C89" s="188"/>
      <c r="D89" s="186" t="s">
        <v>394</v>
      </c>
      <c r="E89" s="183">
        <v>2</v>
      </c>
      <c r="F89" s="151">
        <v>131404</v>
      </c>
      <c r="G89" s="151"/>
      <c r="H89" s="151"/>
      <c r="I89" s="151"/>
      <c r="J89" s="151"/>
      <c r="K89" s="151">
        <f>3500+táj2!K89</f>
        <v>3500</v>
      </c>
      <c r="L89" s="151"/>
      <c r="M89" s="151"/>
      <c r="N89" s="151"/>
      <c r="O89" s="151"/>
      <c r="P89" s="151"/>
      <c r="Q89" s="151">
        <f t="shared" si="7"/>
        <v>3500</v>
      </c>
    </row>
    <row r="90" spans="1:17" ht="14.1" customHeight="1" x14ac:dyDescent="0.25">
      <c r="A90" s="172"/>
      <c r="B90" s="172"/>
      <c r="C90" s="188"/>
      <c r="D90" s="186" t="s">
        <v>395</v>
      </c>
      <c r="E90" s="183">
        <v>2</v>
      </c>
      <c r="F90" s="151">
        <v>131330</v>
      </c>
      <c r="G90" s="151"/>
      <c r="H90" s="151"/>
      <c r="I90" s="151"/>
      <c r="J90" s="151"/>
      <c r="K90" s="151">
        <f>2000+táj2!K90</f>
        <v>2000</v>
      </c>
      <c r="L90" s="151"/>
      <c r="M90" s="151"/>
      <c r="N90" s="151"/>
      <c r="O90" s="151"/>
      <c r="P90" s="151"/>
      <c r="Q90" s="151">
        <f t="shared" si="7"/>
        <v>2000</v>
      </c>
    </row>
    <row r="91" spans="1:17" ht="14.1" customHeight="1" x14ac:dyDescent="0.25">
      <c r="A91" s="172"/>
      <c r="B91" s="172"/>
      <c r="C91" s="188"/>
      <c r="D91" s="186" t="s">
        <v>396</v>
      </c>
      <c r="E91" s="183">
        <v>2</v>
      </c>
      <c r="F91" s="151">
        <v>131507</v>
      </c>
      <c r="G91" s="151"/>
      <c r="H91" s="151"/>
      <c r="I91" s="151"/>
      <c r="J91" s="151"/>
      <c r="K91" s="151">
        <f>2000+táj2!K91</f>
        <v>2000</v>
      </c>
      <c r="L91" s="151"/>
      <c r="M91" s="151"/>
      <c r="N91" s="151"/>
      <c r="O91" s="151"/>
      <c r="P91" s="151"/>
      <c r="Q91" s="151">
        <f t="shared" si="7"/>
        <v>2000</v>
      </c>
    </row>
    <row r="92" spans="1:17" ht="14.1" customHeight="1" x14ac:dyDescent="0.25">
      <c r="A92" s="172"/>
      <c r="B92" s="172"/>
      <c r="C92" s="350"/>
      <c r="D92" s="510" t="s">
        <v>397</v>
      </c>
      <c r="E92" s="183">
        <v>2</v>
      </c>
      <c r="F92" s="151">
        <v>171943</v>
      </c>
      <c r="G92" s="151"/>
      <c r="H92" s="151"/>
      <c r="I92" s="151"/>
      <c r="J92" s="151"/>
      <c r="K92" s="151">
        <f>400+táj2!K92</f>
        <v>400</v>
      </c>
      <c r="L92" s="151"/>
      <c r="M92" s="151"/>
      <c r="N92" s="151"/>
      <c r="O92" s="151"/>
      <c r="P92" s="151"/>
      <c r="Q92" s="151">
        <f t="shared" si="7"/>
        <v>400</v>
      </c>
    </row>
    <row r="93" spans="1:17" ht="14.1" customHeight="1" x14ac:dyDescent="0.25">
      <c r="A93" s="507"/>
      <c r="B93" s="507"/>
      <c r="C93" s="512"/>
      <c r="D93" s="510" t="s">
        <v>1102</v>
      </c>
      <c r="E93" s="509">
        <v>2</v>
      </c>
      <c r="F93" s="510">
        <v>131409</v>
      </c>
      <c r="G93" s="586"/>
      <c r="H93" s="510"/>
      <c r="I93" s="510"/>
      <c r="J93" s="510"/>
      <c r="K93" s="151">
        <f>1500+táj2!K93</f>
        <v>1500</v>
      </c>
      <c r="L93" s="510"/>
      <c r="M93" s="510"/>
      <c r="N93" s="510"/>
      <c r="O93" s="510"/>
      <c r="P93" s="510"/>
      <c r="Q93" s="510">
        <f t="shared" si="7"/>
        <v>1500</v>
      </c>
    </row>
    <row r="94" spans="1:17" ht="14.1" customHeight="1" x14ac:dyDescent="0.25">
      <c r="A94" s="172"/>
      <c r="B94" s="172"/>
      <c r="C94" s="188"/>
      <c r="D94" s="205" t="s">
        <v>398</v>
      </c>
      <c r="E94" s="208"/>
      <c r="F94" s="208"/>
      <c r="G94" s="151"/>
      <c r="H94" s="151"/>
      <c r="I94" s="151"/>
      <c r="J94" s="151"/>
      <c r="K94" s="151"/>
      <c r="L94" s="151"/>
      <c r="M94" s="151"/>
      <c r="N94" s="151"/>
      <c r="O94" s="151"/>
      <c r="P94" s="151"/>
      <c r="Q94" s="151"/>
    </row>
    <row r="95" spans="1:17" ht="14.1" customHeight="1" x14ac:dyDescent="0.25">
      <c r="A95" s="172"/>
      <c r="B95" s="172"/>
      <c r="C95" s="188"/>
      <c r="D95" s="205" t="s">
        <v>399</v>
      </c>
      <c r="E95" s="209">
        <v>2</v>
      </c>
      <c r="F95" s="210">
        <v>131502</v>
      </c>
      <c r="G95" s="151"/>
      <c r="H95" s="151"/>
      <c r="I95" s="151"/>
      <c r="J95" s="151">
        <f>600+táj2!J95</f>
        <v>600</v>
      </c>
      <c r="K95" s="151"/>
      <c r="L95" s="151"/>
      <c r="M95" s="151"/>
      <c r="N95" s="151"/>
      <c r="O95" s="151"/>
      <c r="P95" s="151"/>
      <c r="Q95" s="151">
        <f>SUM(G95:P95)</f>
        <v>600</v>
      </c>
    </row>
    <row r="96" spans="1:17" ht="14.1" customHeight="1" x14ac:dyDescent="0.25">
      <c r="A96" s="172"/>
      <c r="B96" s="172"/>
      <c r="C96" s="188"/>
      <c r="D96" s="193" t="s">
        <v>1021</v>
      </c>
      <c r="E96" s="209">
        <v>2</v>
      </c>
      <c r="F96" s="210">
        <v>131304</v>
      </c>
      <c r="G96" s="151"/>
      <c r="H96" s="151"/>
      <c r="I96" s="151">
        <f>2750+táj2!I96</f>
        <v>2750</v>
      </c>
      <c r="J96" s="151"/>
      <c r="K96" s="151"/>
      <c r="L96" s="151"/>
      <c r="M96" s="151"/>
      <c r="N96" s="151"/>
      <c r="O96" s="151"/>
      <c r="P96" s="151"/>
      <c r="Q96" s="151">
        <f t="shared" ref="Q96:Q99" si="8">SUM(G96:P96)</f>
        <v>2750</v>
      </c>
    </row>
    <row r="97" spans="1:17" ht="25.5" customHeight="1" x14ac:dyDescent="0.25">
      <c r="A97" s="172"/>
      <c r="B97" s="172"/>
      <c r="C97" s="188"/>
      <c r="D97" s="193" t="s">
        <v>1022</v>
      </c>
      <c r="E97" s="209">
        <v>2</v>
      </c>
      <c r="F97" s="475">
        <v>131867</v>
      </c>
      <c r="G97" s="151"/>
      <c r="H97" s="151"/>
      <c r="I97" s="151">
        <f>4000+táj2!I97</f>
        <v>4000</v>
      </c>
      <c r="J97" s="151"/>
      <c r="K97" s="151"/>
      <c r="L97" s="151"/>
      <c r="M97" s="151"/>
      <c r="N97" s="151"/>
      <c r="O97" s="151"/>
      <c r="P97" s="151"/>
      <c r="Q97" s="151">
        <f t="shared" si="8"/>
        <v>4000</v>
      </c>
    </row>
    <row r="98" spans="1:17" ht="21.75" customHeight="1" x14ac:dyDescent="0.25">
      <c r="A98" s="172"/>
      <c r="B98" s="172"/>
      <c r="C98" s="188"/>
      <c r="D98" s="193" t="s">
        <v>1023</v>
      </c>
      <c r="E98" s="209">
        <v>2</v>
      </c>
      <c r="F98" s="475">
        <v>131868</v>
      </c>
      <c r="G98" s="151"/>
      <c r="H98" s="151"/>
      <c r="I98" s="151">
        <f>2018+táj2!I98</f>
        <v>2018</v>
      </c>
      <c r="J98" s="151"/>
      <c r="K98" s="151"/>
      <c r="L98" s="151"/>
      <c r="M98" s="151"/>
      <c r="N98" s="151"/>
      <c r="O98" s="151"/>
      <c r="P98" s="151"/>
      <c r="Q98" s="151">
        <f t="shared" si="8"/>
        <v>2018</v>
      </c>
    </row>
    <row r="99" spans="1:17" ht="24.75" customHeight="1" x14ac:dyDescent="0.25">
      <c r="A99" s="172"/>
      <c r="B99" s="172"/>
      <c r="C99" s="188"/>
      <c r="D99" s="193" t="s">
        <v>1024</v>
      </c>
      <c r="E99" s="209">
        <v>2</v>
      </c>
      <c r="F99" s="210">
        <v>131328</v>
      </c>
      <c r="G99" s="151"/>
      <c r="H99" s="151"/>
      <c r="I99" s="151">
        <f>2000+táj2!I99</f>
        <v>2000</v>
      </c>
      <c r="J99" s="151"/>
      <c r="K99" s="151"/>
      <c r="L99" s="151"/>
      <c r="M99" s="151"/>
      <c r="N99" s="151"/>
      <c r="O99" s="151"/>
      <c r="P99" s="151"/>
      <c r="Q99" s="151">
        <f t="shared" si="8"/>
        <v>2000</v>
      </c>
    </row>
    <row r="100" spans="1:17" ht="15" customHeight="1" x14ac:dyDescent="0.25">
      <c r="A100" s="172"/>
      <c r="B100" s="172"/>
      <c r="C100" s="188"/>
      <c r="D100" s="423" t="s">
        <v>870</v>
      </c>
      <c r="E100" s="476"/>
      <c r="F100" s="210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</row>
    <row r="101" spans="1:17" ht="22.5" customHeight="1" x14ac:dyDescent="0.25">
      <c r="A101" s="172"/>
      <c r="B101" s="172"/>
      <c r="C101" s="188"/>
      <c r="D101" s="205" t="s">
        <v>888</v>
      </c>
      <c r="E101" s="817">
        <v>1</v>
      </c>
      <c r="F101" s="210">
        <v>131508</v>
      </c>
      <c r="G101" s="151"/>
      <c r="H101" s="151"/>
      <c r="I101" s="151"/>
      <c r="J101" s="151"/>
      <c r="K101" s="151">
        <f>288500+táj2!K101</f>
        <v>288500</v>
      </c>
      <c r="L101" s="151"/>
      <c r="M101" s="151"/>
      <c r="N101" s="151"/>
      <c r="O101" s="151"/>
      <c r="P101" s="151"/>
      <c r="Q101" s="151">
        <f>SUM(G101:P101)</f>
        <v>288500</v>
      </c>
    </row>
    <row r="102" spans="1:17" ht="14.1" customHeight="1" x14ac:dyDescent="0.25">
      <c r="A102" s="172"/>
      <c r="B102" s="172"/>
      <c r="C102" s="188"/>
      <c r="D102" s="205" t="s">
        <v>889</v>
      </c>
      <c r="E102" s="817">
        <v>1</v>
      </c>
      <c r="F102" s="210">
        <v>131509</v>
      </c>
      <c r="G102" s="151"/>
      <c r="H102" s="151"/>
      <c r="I102" s="151"/>
      <c r="J102" s="151"/>
      <c r="K102" s="151">
        <f>65000+táj2!K102</f>
        <v>65000</v>
      </c>
      <c r="L102" s="151"/>
      <c r="M102" s="151"/>
      <c r="N102" s="151"/>
      <c r="O102" s="151"/>
      <c r="P102" s="151"/>
      <c r="Q102" s="151">
        <f>SUM(G102:P102)</f>
        <v>65000</v>
      </c>
    </row>
    <row r="103" spans="1:17" ht="14.1" customHeight="1" x14ac:dyDescent="0.25">
      <c r="A103" s="172"/>
      <c r="B103" s="172"/>
      <c r="C103" s="188"/>
      <c r="D103" s="278" t="s">
        <v>400</v>
      </c>
      <c r="E103" s="353"/>
      <c r="F103" s="354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</row>
    <row r="104" spans="1:17" ht="14.1" customHeight="1" x14ac:dyDescent="0.25">
      <c r="A104" s="172"/>
      <c r="B104" s="172"/>
      <c r="C104" s="188"/>
      <c r="D104" s="184" t="s">
        <v>401</v>
      </c>
      <c r="E104" s="204"/>
      <c r="F104" s="183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</row>
    <row r="105" spans="1:17" ht="14.1" customHeight="1" x14ac:dyDescent="0.25">
      <c r="A105" s="172"/>
      <c r="B105" s="172"/>
      <c r="C105" s="188"/>
      <c r="D105" s="182" t="s">
        <v>402</v>
      </c>
      <c r="E105" s="183">
        <v>1</v>
      </c>
      <c r="F105" s="151">
        <v>131703</v>
      </c>
      <c r="G105" s="151"/>
      <c r="H105" s="151"/>
      <c r="I105" s="151">
        <f>10500+táj2!I105</f>
        <v>10500</v>
      </c>
      <c r="J105" s="151"/>
      <c r="K105" s="151"/>
      <c r="L105" s="151"/>
      <c r="M105" s="151"/>
      <c r="N105" s="151"/>
      <c r="O105" s="151"/>
      <c r="P105" s="151"/>
      <c r="Q105" s="151">
        <f>SUM(G105:P105)</f>
        <v>10500</v>
      </c>
    </row>
    <row r="106" spans="1:17" ht="15" customHeight="1" x14ac:dyDescent="0.25">
      <c r="A106" s="172"/>
      <c r="B106" s="172"/>
      <c r="C106" s="188"/>
      <c r="D106" s="185" t="s">
        <v>403</v>
      </c>
      <c r="E106" s="183">
        <v>1</v>
      </c>
      <c r="F106" s="151">
        <v>121319</v>
      </c>
      <c r="G106" s="151"/>
      <c r="H106" s="151"/>
      <c r="I106" s="151"/>
      <c r="J106" s="151"/>
      <c r="K106" s="151">
        <f>5177+táj2!K106</f>
        <v>5177</v>
      </c>
      <c r="L106" s="151"/>
      <c r="M106" s="151"/>
      <c r="N106" s="151"/>
      <c r="O106" s="151"/>
      <c r="P106" s="151"/>
      <c r="Q106" s="151">
        <f>SUM(G106:P106)</f>
        <v>5177</v>
      </c>
    </row>
    <row r="107" spans="1:17" ht="27" customHeight="1" x14ac:dyDescent="0.25">
      <c r="A107" s="172"/>
      <c r="B107" s="172"/>
      <c r="C107" s="188"/>
      <c r="D107" s="355" t="s">
        <v>404</v>
      </c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</row>
    <row r="108" spans="1:17" ht="16.5" customHeight="1" x14ac:dyDescent="0.25">
      <c r="A108" s="172"/>
      <c r="B108" s="172"/>
      <c r="C108" s="188"/>
      <c r="D108" s="355" t="s">
        <v>405</v>
      </c>
      <c r="E108" s="151">
        <v>2</v>
      </c>
      <c r="F108" s="151">
        <v>131506</v>
      </c>
      <c r="G108" s="151">
        <f>700+táj2!G108</f>
        <v>700</v>
      </c>
      <c r="H108" s="151">
        <f>210+táj2!H108</f>
        <v>210</v>
      </c>
      <c r="I108" s="151">
        <f>1340+táj2!I108</f>
        <v>1340</v>
      </c>
      <c r="J108" s="151"/>
      <c r="K108" s="151"/>
      <c r="L108" s="151"/>
      <c r="M108" s="151"/>
      <c r="N108" s="151"/>
      <c r="O108" s="151"/>
      <c r="P108" s="151"/>
      <c r="Q108" s="151">
        <f>SUM(G108:P108)</f>
        <v>2250</v>
      </c>
    </row>
    <row r="109" spans="1:17" ht="15" customHeight="1" x14ac:dyDescent="0.25">
      <c r="A109" s="172"/>
      <c r="B109" s="172"/>
      <c r="C109" s="188"/>
      <c r="D109" s="186" t="s">
        <v>406</v>
      </c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</row>
    <row r="110" spans="1:17" ht="15" customHeight="1" x14ac:dyDescent="0.25">
      <c r="A110" s="172"/>
      <c r="B110" s="172"/>
      <c r="C110" s="188"/>
      <c r="D110" s="186" t="s">
        <v>869</v>
      </c>
      <c r="E110" s="151">
        <v>2</v>
      </c>
      <c r="F110" s="151">
        <v>131707</v>
      </c>
      <c r="G110" s="151"/>
      <c r="H110" s="151"/>
      <c r="I110" s="151"/>
      <c r="J110" s="151"/>
      <c r="K110" s="151">
        <f>11500+táj2!K110</f>
        <v>11500</v>
      </c>
      <c r="L110" s="151"/>
      <c r="M110" s="151"/>
      <c r="N110" s="151"/>
      <c r="O110" s="151"/>
      <c r="P110" s="151"/>
      <c r="Q110" s="151">
        <f>SUM(G110:P110)</f>
        <v>11500</v>
      </c>
    </row>
    <row r="111" spans="1:17" ht="15" customHeight="1" x14ac:dyDescent="0.25">
      <c r="A111" s="172"/>
      <c r="B111" s="172"/>
      <c r="C111" s="188"/>
      <c r="D111" s="186" t="s">
        <v>407</v>
      </c>
      <c r="E111" s="151">
        <v>2</v>
      </c>
      <c r="F111" s="151">
        <v>131713</v>
      </c>
      <c r="G111" s="151"/>
      <c r="H111" s="151"/>
      <c r="I111" s="151"/>
      <c r="J111" s="151"/>
      <c r="K111" s="151">
        <f>3000+táj2!K111</f>
        <v>3000</v>
      </c>
      <c r="L111" s="151"/>
      <c r="M111" s="151"/>
      <c r="N111" s="151"/>
      <c r="O111" s="151"/>
      <c r="P111" s="151"/>
      <c r="Q111" s="151">
        <f>SUM(G111:P111)</f>
        <v>3000</v>
      </c>
    </row>
    <row r="112" spans="1:17" ht="16.5" customHeight="1" x14ac:dyDescent="0.25">
      <c r="A112" s="172"/>
      <c r="B112" s="172"/>
      <c r="C112" s="188"/>
      <c r="D112" s="193" t="s">
        <v>349</v>
      </c>
      <c r="E112" s="208"/>
      <c r="F112" s="208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</row>
    <row r="113" spans="1:17" ht="15" customHeight="1" x14ac:dyDescent="0.25">
      <c r="A113" s="172"/>
      <c r="B113" s="172"/>
      <c r="C113" s="188"/>
      <c r="D113" s="186" t="s">
        <v>408</v>
      </c>
      <c r="E113" s="183">
        <v>2</v>
      </c>
      <c r="F113" s="151">
        <v>131706</v>
      </c>
      <c r="G113" s="151">
        <f>300+táj2!G113</f>
        <v>300</v>
      </c>
      <c r="H113" s="151">
        <f>108+táj2!H113</f>
        <v>108</v>
      </c>
      <c r="I113" s="151">
        <f>342+táj2!I113</f>
        <v>342</v>
      </c>
      <c r="J113" s="151"/>
      <c r="K113" s="151">
        <f>1850+táj2!K113</f>
        <v>1850</v>
      </c>
      <c r="L113" s="151"/>
      <c r="M113" s="151"/>
      <c r="N113" s="151"/>
      <c r="O113" s="151"/>
      <c r="P113" s="151"/>
      <c r="Q113" s="151">
        <f>SUM(G113:P113)</f>
        <v>2600</v>
      </c>
    </row>
    <row r="114" spans="1:17" ht="15" customHeight="1" x14ac:dyDescent="0.25">
      <c r="A114" s="172"/>
      <c r="B114" s="172"/>
      <c r="C114" s="188"/>
      <c r="D114" s="186" t="s">
        <v>409</v>
      </c>
      <c r="E114" s="183">
        <v>2</v>
      </c>
      <c r="F114" s="151">
        <v>131712</v>
      </c>
      <c r="G114" s="268"/>
      <c r="H114" s="151"/>
      <c r="I114" s="151">
        <f>1900+táj2!I114</f>
        <v>1900</v>
      </c>
      <c r="J114" s="151"/>
      <c r="K114" s="151"/>
      <c r="L114" s="151"/>
      <c r="M114" s="151"/>
      <c r="N114" s="151"/>
      <c r="O114" s="151"/>
      <c r="P114" s="151"/>
      <c r="Q114" s="151">
        <f>SUM(G114:P114)</f>
        <v>1900</v>
      </c>
    </row>
    <row r="115" spans="1:17" ht="15" customHeight="1" x14ac:dyDescent="0.25">
      <c r="A115" s="172"/>
      <c r="B115" s="172"/>
      <c r="C115" s="188"/>
      <c r="D115" s="193" t="s">
        <v>410</v>
      </c>
      <c r="E115" s="183">
        <v>2</v>
      </c>
      <c r="F115" s="151">
        <v>131714</v>
      </c>
      <c r="G115" s="151"/>
      <c r="H115" s="151"/>
      <c r="I115" s="151"/>
      <c r="J115" s="151"/>
      <c r="K115" s="151">
        <f>3000+táj2!K115</f>
        <v>3000</v>
      </c>
      <c r="L115" s="151"/>
      <c r="M115" s="151"/>
      <c r="N115" s="151"/>
      <c r="O115" s="151"/>
      <c r="P115" s="151"/>
      <c r="Q115" s="151">
        <f>SUM(G115:P115)</f>
        <v>3000</v>
      </c>
    </row>
    <row r="116" spans="1:17" ht="25.5" customHeight="1" x14ac:dyDescent="0.25">
      <c r="A116" s="172"/>
      <c r="B116" s="172"/>
      <c r="C116" s="188"/>
      <c r="D116" s="193" t="s">
        <v>890</v>
      </c>
      <c r="E116" s="183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</row>
    <row r="117" spans="1:17" ht="15" customHeight="1" x14ac:dyDescent="0.25">
      <c r="A117" s="172"/>
      <c r="B117" s="172"/>
      <c r="C117" s="188"/>
      <c r="D117" s="193" t="s">
        <v>891</v>
      </c>
      <c r="E117" s="183">
        <v>1</v>
      </c>
      <c r="F117" s="151">
        <v>131716</v>
      </c>
      <c r="G117" s="151"/>
      <c r="H117" s="151"/>
      <c r="I117" s="151">
        <f>2993+táj2!I117</f>
        <v>2993</v>
      </c>
      <c r="J117" s="151"/>
      <c r="K117" s="151"/>
      <c r="L117" s="151"/>
      <c r="M117" s="151"/>
      <c r="N117" s="151"/>
      <c r="O117" s="151"/>
      <c r="P117" s="151"/>
      <c r="Q117" s="151">
        <f>SUM(G117:P117)</f>
        <v>2993</v>
      </c>
    </row>
    <row r="118" spans="1:17" ht="15" customHeight="1" x14ac:dyDescent="0.25">
      <c r="A118" s="172"/>
      <c r="B118" s="172"/>
      <c r="C118" s="188"/>
      <c r="D118" s="151" t="s">
        <v>390</v>
      </c>
      <c r="E118" s="204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</row>
    <row r="119" spans="1:17" ht="15" customHeight="1" x14ac:dyDescent="0.25">
      <c r="A119" s="172"/>
      <c r="B119" s="172"/>
      <c r="C119" s="188"/>
      <c r="D119" s="186" t="s">
        <v>411</v>
      </c>
      <c r="E119" s="183">
        <v>2</v>
      </c>
      <c r="F119" s="151">
        <v>128901</v>
      </c>
      <c r="G119" s="151"/>
      <c r="H119" s="151"/>
      <c r="I119" s="151"/>
      <c r="J119" s="151"/>
      <c r="K119" s="151">
        <f>1250+táj2!K119</f>
        <v>1250</v>
      </c>
      <c r="L119" s="151"/>
      <c r="M119" s="151"/>
      <c r="N119" s="151"/>
      <c r="O119" s="151"/>
      <c r="P119" s="151"/>
      <c r="Q119" s="151">
        <f>SUM(G119:P119)</f>
        <v>1250</v>
      </c>
    </row>
    <row r="120" spans="1:17" ht="15" customHeight="1" x14ac:dyDescent="0.25">
      <c r="A120" s="507"/>
      <c r="B120" s="507"/>
      <c r="C120" s="508"/>
      <c r="D120" s="186" t="s">
        <v>802</v>
      </c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</row>
    <row r="121" spans="1:17" ht="15" customHeight="1" x14ac:dyDescent="0.25">
      <c r="A121" s="507"/>
      <c r="B121" s="507"/>
      <c r="C121" s="508"/>
      <c r="D121" s="566" t="s">
        <v>803</v>
      </c>
      <c r="E121" s="151">
        <v>2</v>
      </c>
      <c r="F121" s="151">
        <v>191401</v>
      </c>
      <c r="G121" s="151"/>
      <c r="H121" s="151"/>
      <c r="I121" s="151"/>
      <c r="J121" s="151"/>
      <c r="K121" s="151">
        <f>3000+táj2!K121</f>
        <v>3000</v>
      </c>
      <c r="L121" s="151"/>
      <c r="M121" s="151"/>
      <c r="N121" s="151"/>
      <c r="O121" s="151"/>
      <c r="P121" s="151"/>
      <c r="Q121" s="151">
        <f>SUM(G121:P121)</f>
        <v>3000</v>
      </c>
    </row>
    <row r="122" spans="1:17" ht="15" customHeight="1" x14ac:dyDescent="0.25">
      <c r="A122" s="172"/>
      <c r="B122" s="172"/>
      <c r="C122" s="188"/>
      <c r="D122" s="218" t="s">
        <v>412</v>
      </c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</row>
    <row r="123" spans="1:17" ht="15" customHeight="1" x14ac:dyDescent="0.25">
      <c r="A123" s="172"/>
      <c r="B123" s="172"/>
      <c r="C123" s="188"/>
      <c r="D123" s="185" t="s">
        <v>413</v>
      </c>
      <c r="E123" s="183"/>
      <c r="F123" s="183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</row>
    <row r="124" spans="1:17" ht="15" customHeight="1" x14ac:dyDescent="0.25">
      <c r="A124" s="172"/>
      <c r="B124" s="172"/>
      <c r="C124" s="188"/>
      <c r="D124" s="186" t="s">
        <v>1251</v>
      </c>
      <c r="E124" s="151">
        <v>2</v>
      </c>
      <c r="F124" s="151">
        <v>131803</v>
      </c>
      <c r="G124" s="151"/>
      <c r="H124" s="151"/>
      <c r="I124" s="151"/>
      <c r="J124" s="151"/>
      <c r="K124" s="151">
        <f>150000+táj2!K124</f>
        <v>150000</v>
      </c>
      <c r="L124" s="151"/>
      <c r="M124" s="151"/>
      <c r="N124" s="151"/>
      <c r="O124" s="151"/>
      <c r="P124" s="151"/>
      <c r="Q124" s="151">
        <f>SUM(G124:P124)</f>
        <v>150000</v>
      </c>
    </row>
    <row r="125" spans="1:17" ht="15" customHeight="1" x14ac:dyDescent="0.25">
      <c r="A125" s="172"/>
      <c r="B125" s="172"/>
      <c r="C125" s="188"/>
      <c r="D125" s="186" t="s">
        <v>414</v>
      </c>
      <c r="E125" s="151">
        <v>2</v>
      </c>
      <c r="F125" s="151">
        <v>131804</v>
      </c>
      <c r="G125" s="151"/>
      <c r="H125" s="151"/>
      <c r="I125" s="151"/>
      <c r="J125" s="151"/>
      <c r="K125" s="151">
        <f>75000+táj2!K125</f>
        <v>75000</v>
      </c>
      <c r="L125" s="151"/>
      <c r="M125" s="151"/>
      <c r="N125" s="151"/>
      <c r="O125" s="151"/>
      <c r="P125" s="151"/>
      <c r="Q125" s="151">
        <f>SUM(G125:P125)</f>
        <v>75000</v>
      </c>
    </row>
    <row r="126" spans="1:17" ht="15" customHeight="1" x14ac:dyDescent="0.25">
      <c r="A126" s="172"/>
      <c r="B126" s="172"/>
      <c r="C126" s="188"/>
      <c r="D126" s="186" t="s">
        <v>415</v>
      </c>
      <c r="E126" s="151">
        <v>2</v>
      </c>
      <c r="F126" s="151">
        <v>131805</v>
      </c>
      <c r="G126" s="151"/>
      <c r="H126" s="151"/>
      <c r="I126" s="151"/>
      <c r="J126" s="151"/>
      <c r="K126" s="151">
        <f>5000+táj2!K126</f>
        <v>5000</v>
      </c>
      <c r="L126" s="151"/>
      <c r="M126" s="151"/>
      <c r="N126" s="151"/>
      <c r="O126" s="151"/>
      <c r="P126" s="151"/>
      <c r="Q126" s="151">
        <f>SUM(G126:P126)</f>
        <v>5000</v>
      </c>
    </row>
    <row r="127" spans="1:17" ht="15" customHeight="1" x14ac:dyDescent="0.25">
      <c r="A127" s="172"/>
      <c r="B127" s="172"/>
      <c r="C127" s="188"/>
      <c r="D127" s="185" t="s">
        <v>416</v>
      </c>
      <c r="E127" s="183"/>
      <c r="F127" s="183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</row>
    <row r="128" spans="1:17" ht="15" customHeight="1" x14ac:dyDescent="0.25">
      <c r="A128" s="172"/>
      <c r="B128" s="172"/>
      <c r="C128" s="188"/>
      <c r="D128" s="186" t="s">
        <v>417</v>
      </c>
      <c r="E128" s="183">
        <v>1</v>
      </c>
      <c r="F128" s="151">
        <v>131808</v>
      </c>
      <c r="G128" s="151">
        <f>180+táj2!G128</f>
        <v>180</v>
      </c>
      <c r="H128" s="151">
        <f>65+táj2!H128</f>
        <v>65</v>
      </c>
      <c r="I128" s="151">
        <f>630+táj2!I128</f>
        <v>630</v>
      </c>
      <c r="J128" s="151"/>
      <c r="K128" s="151"/>
      <c r="L128" s="151"/>
      <c r="M128" s="151"/>
      <c r="N128" s="151"/>
      <c r="O128" s="151"/>
      <c r="P128" s="151"/>
      <c r="Q128" s="151">
        <f>SUM(G128:P128)</f>
        <v>875</v>
      </c>
    </row>
    <row r="129" spans="1:17" ht="15" customHeight="1" x14ac:dyDescent="0.25">
      <c r="A129" s="172"/>
      <c r="B129" s="172"/>
      <c r="C129" s="188"/>
      <c r="D129" s="186" t="s">
        <v>418</v>
      </c>
      <c r="E129" s="151">
        <v>1</v>
      </c>
      <c r="F129" s="151">
        <v>131807</v>
      </c>
      <c r="G129" s="151">
        <f>160+táj2!G129</f>
        <v>160</v>
      </c>
      <c r="H129" s="151">
        <f>58+táj2!H129</f>
        <v>58</v>
      </c>
      <c r="I129" s="151">
        <f>507+táj2!I129</f>
        <v>507</v>
      </c>
      <c r="J129" s="151"/>
      <c r="K129" s="151"/>
      <c r="L129" s="151"/>
      <c r="M129" s="151"/>
      <c r="N129" s="151"/>
      <c r="O129" s="151"/>
      <c r="P129" s="151"/>
      <c r="Q129" s="151">
        <f>SUM(G129:P129)</f>
        <v>725</v>
      </c>
    </row>
    <row r="130" spans="1:17" ht="15" customHeight="1" x14ac:dyDescent="0.25">
      <c r="A130" s="172"/>
      <c r="B130" s="172"/>
      <c r="C130" s="188"/>
      <c r="D130" s="186" t="s">
        <v>419</v>
      </c>
      <c r="E130" s="183">
        <v>1</v>
      </c>
      <c r="F130" s="151">
        <v>131809</v>
      </c>
      <c r="G130" s="151"/>
      <c r="H130" s="151"/>
      <c r="I130" s="151"/>
      <c r="J130" s="151"/>
      <c r="K130" s="151">
        <f>400+táj2!K130</f>
        <v>400</v>
      </c>
      <c r="L130" s="151"/>
      <c r="M130" s="151"/>
      <c r="N130" s="151"/>
      <c r="O130" s="151"/>
      <c r="P130" s="151"/>
      <c r="Q130" s="151">
        <f>SUM(G130:P130)</f>
        <v>400</v>
      </c>
    </row>
    <row r="131" spans="1:17" ht="15" customHeight="1" x14ac:dyDescent="0.25">
      <c r="A131" s="172"/>
      <c r="B131" s="172"/>
      <c r="C131" s="188"/>
      <c r="D131" s="186" t="s">
        <v>1025</v>
      </c>
      <c r="E131" s="183">
        <v>2</v>
      </c>
      <c r="F131" s="151">
        <v>131866</v>
      </c>
      <c r="G131" s="151"/>
      <c r="H131" s="151"/>
      <c r="I131" s="151"/>
      <c r="J131" s="151"/>
      <c r="K131" s="151">
        <f>2000+táj2!K131</f>
        <v>2000</v>
      </c>
      <c r="L131" s="151"/>
      <c r="M131" s="151"/>
      <c r="N131" s="151"/>
      <c r="O131" s="151"/>
      <c r="P131" s="151"/>
      <c r="Q131" s="151">
        <f>SUM(G131:P131)</f>
        <v>2000</v>
      </c>
    </row>
    <row r="132" spans="1:17" ht="15" customHeight="1" x14ac:dyDescent="0.25">
      <c r="A132" s="172"/>
      <c r="B132" s="172"/>
      <c r="C132" s="188"/>
      <c r="D132" s="185" t="s">
        <v>420</v>
      </c>
      <c r="E132" s="183"/>
      <c r="F132" s="183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</row>
    <row r="133" spans="1:17" ht="15" customHeight="1" x14ac:dyDescent="0.25">
      <c r="A133" s="172"/>
      <c r="B133" s="172"/>
      <c r="C133" s="188"/>
      <c r="D133" s="186" t="s">
        <v>421</v>
      </c>
      <c r="E133" s="151">
        <v>1</v>
      </c>
      <c r="F133" s="151">
        <v>131811</v>
      </c>
      <c r="G133" s="151"/>
      <c r="H133" s="151"/>
      <c r="I133" s="151"/>
      <c r="J133" s="151"/>
      <c r="K133" s="151">
        <f>6000+táj2!K133</f>
        <v>6000</v>
      </c>
      <c r="L133" s="151"/>
      <c r="M133" s="151"/>
      <c r="N133" s="151"/>
      <c r="O133" s="151"/>
      <c r="P133" s="151"/>
      <c r="Q133" s="151">
        <f t="shared" ref="Q133:Q141" si="9">SUM(G133:P133)</f>
        <v>6000</v>
      </c>
    </row>
    <row r="134" spans="1:17" ht="15" customHeight="1" x14ac:dyDescent="0.25">
      <c r="A134" s="172"/>
      <c r="B134" s="172"/>
      <c r="C134" s="188"/>
      <c r="D134" s="186" t="s">
        <v>422</v>
      </c>
      <c r="E134" s="151">
        <v>1</v>
      </c>
      <c r="F134" s="151">
        <v>131812</v>
      </c>
      <c r="G134" s="151"/>
      <c r="H134" s="151"/>
      <c r="I134" s="151"/>
      <c r="J134" s="151"/>
      <c r="K134" s="151">
        <f>3500+táj2!K134</f>
        <v>3500</v>
      </c>
      <c r="L134" s="151"/>
      <c r="M134" s="151"/>
      <c r="N134" s="151"/>
      <c r="O134" s="151"/>
      <c r="P134" s="151"/>
      <c r="Q134" s="151">
        <f t="shared" si="9"/>
        <v>3500</v>
      </c>
    </row>
    <row r="135" spans="1:17" ht="15" customHeight="1" x14ac:dyDescent="0.25">
      <c r="A135" s="172"/>
      <c r="B135" s="172"/>
      <c r="C135" s="188"/>
      <c r="D135" s="186" t="s">
        <v>423</v>
      </c>
      <c r="E135" s="151">
        <v>1</v>
      </c>
      <c r="F135" s="151">
        <v>131813</v>
      </c>
      <c r="G135" s="151"/>
      <c r="H135" s="151"/>
      <c r="I135" s="151"/>
      <c r="J135" s="151"/>
      <c r="K135" s="151">
        <f>900+táj2!K135</f>
        <v>900</v>
      </c>
      <c r="L135" s="151"/>
      <c r="M135" s="151"/>
      <c r="N135" s="151"/>
      <c r="O135" s="151"/>
      <c r="P135" s="151"/>
      <c r="Q135" s="151">
        <f t="shared" si="9"/>
        <v>900</v>
      </c>
    </row>
    <row r="136" spans="1:17" ht="15" customHeight="1" x14ac:dyDescent="0.25">
      <c r="A136" s="172"/>
      <c r="B136" s="172"/>
      <c r="C136" s="188"/>
      <c r="D136" s="186" t="s">
        <v>424</v>
      </c>
      <c r="E136" s="151">
        <v>1</v>
      </c>
      <c r="F136" s="151">
        <v>131816</v>
      </c>
      <c r="G136" s="151"/>
      <c r="H136" s="151"/>
      <c r="I136" s="151"/>
      <c r="J136" s="151"/>
      <c r="K136" s="151">
        <f>700+táj2!K136</f>
        <v>700</v>
      </c>
      <c r="L136" s="151"/>
      <c r="M136" s="151"/>
      <c r="N136" s="151"/>
      <c r="O136" s="151"/>
      <c r="P136" s="151"/>
      <c r="Q136" s="151">
        <f t="shared" si="9"/>
        <v>700</v>
      </c>
    </row>
    <row r="137" spans="1:17" ht="15" customHeight="1" x14ac:dyDescent="0.25">
      <c r="A137" s="172"/>
      <c r="B137" s="172"/>
      <c r="C137" s="188"/>
      <c r="D137" s="186" t="s">
        <v>425</v>
      </c>
      <c r="E137" s="151">
        <v>1</v>
      </c>
      <c r="F137" s="151">
        <v>131817</v>
      </c>
      <c r="G137" s="151"/>
      <c r="H137" s="151"/>
      <c r="I137" s="151"/>
      <c r="J137" s="151"/>
      <c r="K137" s="151">
        <f>495+táj2!K137</f>
        <v>495</v>
      </c>
      <c r="L137" s="151"/>
      <c r="M137" s="151"/>
      <c r="N137" s="151"/>
      <c r="O137" s="151"/>
      <c r="P137" s="151"/>
      <c r="Q137" s="151">
        <f t="shared" si="9"/>
        <v>495</v>
      </c>
    </row>
    <row r="138" spans="1:17" ht="15" customHeight="1" x14ac:dyDescent="0.25">
      <c r="A138" s="172"/>
      <c r="B138" s="172"/>
      <c r="C138" s="188"/>
      <c r="D138" s="186" t="s">
        <v>426</v>
      </c>
      <c r="E138" s="151">
        <v>1</v>
      </c>
      <c r="F138" s="151">
        <v>131818</v>
      </c>
      <c r="G138" s="151"/>
      <c r="H138" s="151"/>
      <c r="I138" s="151"/>
      <c r="J138" s="151"/>
      <c r="K138" s="151">
        <f>200+táj2!K138</f>
        <v>200</v>
      </c>
      <c r="L138" s="151"/>
      <c r="M138" s="151"/>
      <c r="N138" s="151"/>
      <c r="O138" s="151"/>
      <c r="P138" s="151"/>
      <c r="Q138" s="151">
        <f t="shared" si="9"/>
        <v>200</v>
      </c>
    </row>
    <row r="139" spans="1:17" ht="15" customHeight="1" x14ac:dyDescent="0.25">
      <c r="A139" s="172"/>
      <c r="B139" s="172"/>
      <c r="C139" s="188"/>
      <c r="D139" s="186" t="s">
        <v>427</v>
      </c>
      <c r="E139" s="151">
        <v>1</v>
      </c>
      <c r="F139" s="151">
        <v>131819</v>
      </c>
      <c r="G139" s="151"/>
      <c r="H139" s="151"/>
      <c r="I139" s="151"/>
      <c r="J139" s="151"/>
      <c r="K139" s="151">
        <f>200+táj2!K139</f>
        <v>200</v>
      </c>
      <c r="L139" s="151"/>
      <c r="M139" s="151"/>
      <c r="N139" s="151"/>
      <c r="O139" s="151"/>
      <c r="P139" s="151"/>
      <c r="Q139" s="151">
        <f t="shared" si="9"/>
        <v>200</v>
      </c>
    </row>
    <row r="140" spans="1:17" ht="15" customHeight="1" x14ac:dyDescent="0.25">
      <c r="A140" s="172"/>
      <c r="B140" s="172"/>
      <c r="C140" s="188"/>
      <c r="D140" s="186" t="s">
        <v>428</v>
      </c>
      <c r="E140" s="151">
        <v>1</v>
      </c>
      <c r="F140" s="151">
        <v>131832</v>
      </c>
      <c r="G140" s="151"/>
      <c r="H140" s="151"/>
      <c r="I140" s="151"/>
      <c r="J140" s="151"/>
      <c r="K140" s="151">
        <f>113+táj2!K140</f>
        <v>113</v>
      </c>
      <c r="L140" s="151"/>
      <c r="M140" s="151"/>
      <c r="N140" s="151"/>
      <c r="O140" s="151"/>
      <c r="P140" s="151"/>
      <c r="Q140" s="151">
        <f t="shared" si="9"/>
        <v>113</v>
      </c>
    </row>
    <row r="141" spans="1:17" ht="15" customHeight="1" x14ac:dyDescent="0.25">
      <c r="A141" s="172"/>
      <c r="B141" s="172"/>
      <c r="C141" s="188"/>
      <c r="D141" s="186" t="s">
        <v>429</v>
      </c>
      <c r="E141" s="151">
        <v>1</v>
      </c>
      <c r="F141" s="151">
        <v>131820</v>
      </c>
      <c r="G141" s="151">
        <f>100+táj2!G141</f>
        <v>100</v>
      </c>
      <c r="H141" s="151">
        <f>36+táj2!H141</f>
        <v>36</v>
      </c>
      <c r="I141" s="151">
        <f>864+táj2!I141</f>
        <v>864</v>
      </c>
      <c r="J141" s="151"/>
      <c r="K141" s="151">
        <f>1000+táj2!K141</f>
        <v>1000</v>
      </c>
      <c r="L141" s="151"/>
      <c r="M141" s="151"/>
      <c r="N141" s="151">
        <f>500+táj2!N141</f>
        <v>500</v>
      </c>
      <c r="O141" s="151"/>
      <c r="P141" s="151"/>
      <c r="Q141" s="151">
        <f t="shared" si="9"/>
        <v>2500</v>
      </c>
    </row>
    <row r="142" spans="1:17" ht="15" customHeight="1" x14ac:dyDescent="0.25">
      <c r="A142" s="172"/>
      <c r="B142" s="172"/>
      <c r="C142" s="188"/>
      <c r="D142" s="186" t="s">
        <v>430</v>
      </c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</row>
    <row r="143" spans="1:17" ht="15" customHeight="1" x14ac:dyDescent="0.25">
      <c r="A143" s="172"/>
      <c r="B143" s="172"/>
      <c r="C143" s="188"/>
      <c r="D143" s="186" t="s">
        <v>431</v>
      </c>
      <c r="E143" s="183">
        <v>2</v>
      </c>
      <c r="F143" s="151">
        <v>131821</v>
      </c>
      <c r="G143" s="151"/>
      <c r="H143" s="151"/>
      <c r="I143" s="151"/>
      <c r="J143" s="151"/>
      <c r="K143" s="151">
        <f>3500+táj2!K143</f>
        <v>3500</v>
      </c>
      <c r="L143" s="151"/>
      <c r="M143" s="151"/>
      <c r="N143" s="151"/>
      <c r="O143" s="151"/>
      <c r="P143" s="151"/>
      <c r="Q143" s="151">
        <f t="shared" ref="Q143:Q167" si="10">SUM(G143:P143)</f>
        <v>3500</v>
      </c>
    </row>
    <row r="144" spans="1:17" ht="15" customHeight="1" x14ac:dyDescent="0.25">
      <c r="A144" s="172"/>
      <c r="B144" s="172"/>
      <c r="C144" s="188"/>
      <c r="D144" s="186" t="s">
        <v>432</v>
      </c>
      <c r="E144" s="183">
        <v>2</v>
      </c>
      <c r="F144" s="151">
        <v>131822</v>
      </c>
      <c r="G144" s="151"/>
      <c r="H144" s="151"/>
      <c r="I144" s="151"/>
      <c r="J144" s="151"/>
      <c r="K144" s="151">
        <f>225+táj2!K144</f>
        <v>225</v>
      </c>
      <c r="L144" s="151"/>
      <c r="M144" s="151"/>
      <c r="N144" s="151"/>
      <c r="O144" s="151"/>
      <c r="P144" s="151"/>
      <c r="Q144" s="151">
        <f t="shared" si="10"/>
        <v>225</v>
      </c>
    </row>
    <row r="145" spans="1:17" ht="15" customHeight="1" x14ac:dyDescent="0.25">
      <c r="A145" s="172"/>
      <c r="B145" s="172"/>
      <c r="C145" s="188"/>
      <c r="D145" s="356" t="s">
        <v>433</v>
      </c>
      <c r="E145" s="357">
        <v>2</v>
      </c>
      <c r="F145" s="151">
        <v>131823</v>
      </c>
      <c r="G145" s="151"/>
      <c r="H145" s="151"/>
      <c r="I145" s="151"/>
      <c r="J145" s="151"/>
      <c r="K145" s="151">
        <f>15000+táj2!K145</f>
        <v>15000</v>
      </c>
      <c r="L145" s="151"/>
      <c r="M145" s="151"/>
      <c r="N145" s="151"/>
      <c r="O145" s="151"/>
      <c r="P145" s="151"/>
      <c r="Q145" s="151">
        <f t="shared" si="10"/>
        <v>15000</v>
      </c>
    </row>
    <row r="146" spans="1:17" ht="15" customHeight="1" x14ac:dyDescent="0.25">
      <c r="A146" s="172"/>
      <c r="B146" s="172"/>
      <c r="C146" s="188"/>
      <c r="D146" s="356" t="s">
        <v>434</v>
      </c>
      <c r="E146" s="211">
        <v>2</v>
      </c>
      <c r="F146" s="151">
        <v>131824</v>
      </c>
      <c r="G146" s="151"/>
      <c r="H146" s="151"/>
      <c r="I146" s="151"/>
      <c r="J146" s="151"/>
      <c r="K146" s="151">
        <f>1665+táj2!K146</f>
        <v>1665</v>
      </c>
      <c r="L146" s="151"/>
      <c r="M146" s="151"/>
      <c r="N146" s="151"/>
      <c r="O146" s="151"/>
      <c r="P146" s="151"/>
      <c r="Q146" s="151">
        <f t="shared" si="10"/>
        <v>1665</v>
      </c>
    </row>
    <row r="147" spans="1:17" ht="15" customHeight="1" x14ac:dyDescent="0.25">
      <c r="A147" s="172"/>
      <c r="B147" s="172"/>
      <c r="C147" s="188"/>
      <c r="D147" s="356" t="s">
        <v>435</v>
      </c>
      <c r="E147" s="211">
        <v>2</v>
      </c>
      <c r="F147" s="212">
        <v>131833</v>
      </c>
      <c r="G147" s="151"/>
      <c r="H147" s="151"/>
      <c r="I147" s="151"/>
      <c r="J147" s="151"/>
      <c r="K147" s="151">
        <f>1350+táj2!K147</f>
        <v>1350</v>
      </c>
      <c r="L147" s="151"/>
      <c r="M147" s="151"/>
      <c r="N147" s="151"/>
      <c r="O147" s="151"/>
      <c r="P147" s="151"/>
      <c r="Q147" s="151">
        <f t="shared" si="10"/>
        <v>1350</v>
      </c>
    </row>
    <row r="148" spans="1:17" ht="15" customHeight="1" x14ac:dyDescent="0.25">
      <c r="A148" s="172"/>
      <c r="B148" s="172"/>
      <c r="C148" s="188"/>
      <c r="D148" s="356" t="s">
        <v>436</v>
      </c>
      <c r="E148" s="211">
        <v>2</v>
      </c>
      <c r="F148" s="212">
        <v>131834</v>
      </c>
      <c r="G148" s="151"/>
      <c r="H148" s="151"/>
      <c r="I148" s="151"/>
      <c r="J148" s="151"/>
      <c r="K148" s="151">
        <f>1800+táj2!K148</f>
        <v>1800</v>
      </c>
      <c r="L148" s="151"/>
      <c r="M148" s="151"/>
      <c r="N148" s="151"/>
      <c r="O148" s="151"/>
      <c r="P148" s="151"/>
      <c r="Q148" s="151">
        <f t="shared" si="10"/>
        <v>1800</v>
      </c>
    </row>
    <row r="149" spans="1:17" ht="15" customHeight="1" x14ac:dyDescent="0.25">
      <c r="A149" s="172"/>
      <c r="B149" s="172"/>
      <c r="C149" s="188"/>
      <c r="D149" s="356" t="s">
        <v>437</v>
      </c>
      <c r="E149" s="211">
        <v>2</v>
      </c>
      <c r="F149" s="212">
        <v>131836</v>
      </c>
      <c r="G149" s="151"/>
      <c r="H149" s="151"/>
      <c r="I149" s="151"/>
      <c r="J149" s="151"/>
      <c r="K149" s="151">
        <f>4500+táj2!K149</f>
        <v>4500</v>
      </c>
      <c r="L149" s="151"/>
      <c r="M149" s="151"/>
      <c r="N149" s="151"/>
      <c r="O149" s="151"/>
      <c r="P149" s="151"/>
      <c r="Q149" s="151">
        <f t="shared" si="10"/>
        <v>4500</v>
      </c>
    </row>
    <row r="150" spans="1:17" ht="15" customHeight="1" x14ac:dyDescent="0.25">
      <c r="A150" s="172"/>
      <c r="B150" s="172"/>
      <c r="C150" s="188"/>
      <c r="D150" s="356" t="s">
        <v>438</v>
      </c>
      <c r="E150" s="211">
        <v>2</v>
      </c>
      <c r="F150" s="212">
        <v>131837</v>
      </c>
      <c r="G150" s="151"/>
      <c r="H150" s="151"/>
      <c r="I150" s="151"/>
      <c r="J150" s="151"/>
      <c r="K150" s="151">
        <f>4000+táj2!K150</f>
        <v>4000</v>
      </c>
      <c r="L150" s="151"/>
      <c r="M150" s="151"/>
      <c r="N150" s="151"/>
      <c r="O150" s="151"/>
      <c r="P150" s="151"/>
      <c r="Q150" s="151">
        <f t="shared" si="10"/>
        <v>4000</v>
      </c>
    </row>
    <row r="151" spans="1:17" ht="15" customHeight="1" x14ac:dyDescent="0.25">
      <c r="A151" s="172"/>
      <c r="B151" s="172"/>
      <c r="C151" s="188"/>
      <c r="D151" s="356" t="s">
        <v>439</v>
      </c>
      <c r="E151" s="211">
        <v>2</v>
      </c>
      <c r="F151" s="212">
        <v>131838</v>
      </c>
      <c r="G151" s="151"/>
      <c r="H151" s="151"/>
      <c r="I151" s="151"/>
      <c r="J151" s="151"/>
      <c r="K151" s="151">
        <f>19700+táj2!K151</f>
        <v>19700</v>
      </c>
      <c r="L151" s="151"/>
      <c r="M151" s="151"/>
      <c r="N151" s="151"/>
      <c r="O151" s="151"/>
      <c r="P151" s="151"/>
      <c r="Q151" s="151">
        <f t="shared" si="10"/>
        <v>19700</v>
      </c>
    </row>
    <row r="152" spans="1:17" ht="15" customHeight="1" x14ac:dyDescent="0.25">
      <c r="A152" s="172"/>
      <c r="B152" s="172"/>
      <c r="C152" s="188"/>
      <c r="D152" s="356" t="s">
        <v>440</v>
      </c>
      <c r="E152" s="211">
        <v>2</v>
      </c>
      <c r="F152" s="212">
        <v>131840</v>
      </c>
      <c r="G152" s="151"/>
      <c r="H152" s="151"/>
      <c r="I152" s="151"/>
      <c r="J152" s="151"/>
      <c r="K152" s="151">
        <f>675+táj2!K152</f>
        <v>675</v>
      </c>
      <c r="L152" s="151"/>
      <c r="M152" s="151"/>
      <c r="N152" s="151"/>
      <c r="O152" s="151"/>
      <c r="P152" s="151"/>
      <c r="Q152" s="151">
        <f t="shared" si="10"/>
        <v>675</v>
      </c>
    </row>
    <row r="153" spans="1:17" ht="15" customHeight="1" x14ac:dyDescent="0.25">
      <c r="A153" s="172"/>
      <c r="B153" s="172"/>
      <c r="C153" s="188"/>
      <c r="D153" s="356" t="s">
        <v>441</v>
      </c>
      <c r="E153" s="211">
        <v>2</v>
      </c>
      <c r="F153" s="212">
        <v>131841</v>
      </c>
      <c r="G153" s="151"/>
      <c r="H153" s="151"/>
      <c r="I153" s="151"/>
      <c r="J153" s="151"/>
      <c r="K153" s="151">
        <f>225+táj2!K153</f>
        <v>225</v>
      </c>
      <c r="L153" s="151"/>
      <c r="M153" s="151"/>
      <c r="N153" s="151"/>
      <c r="O153" s="151"/>
      <c r="P153" s="151"/>
      <c r="Q153" s="151">
        <f t="shared" si="10"/>
        <v>225</v>
      </c>
    </row>
    <row r="154" spans="1:17" ht="15" customHeight="1" x14ac:dyDescent="0.25">
      <c r="A154" s="172"/>
      <c r="B154" s="172"/>
      <c r="C154" s="188"/>
      <c r="D154" s="356" t="s">
        <v>442</v>
      </c>
      <c r="E154" s="211">
        <v>2</v>
      </c>
      <c r="F154" s="212">
        <v>131843</v>
      </c>
      <c r="G154" s="151"/>
      <c r="H154" s="151"/>
      <c r="I154" s="151"/>
      <c r="J154" s="151"/>
      <c r="K154" s="151">
        <f>1125+táj2!K154</f>
        <v>1125</v>
      </c>
      <c r="L154" s="151"/>
      <c r="M154" s="151"/>
      <c r="N154" s="151"/>
      <c r="O154" s="151"/>
      <c r="P154" s="151"/>
      <c r="Q154" s="151">
        <f t="shared" si="10"/>
        <v>1125</v>
      </c>
    </row>
    <row r="155" spans="1:17" ht="15" customHeight="1" x14ac:dyDescent="0.25">
      <c r="A155" s="172"/>
      <c r="B155" s="172"/>
      <c r="C155" s="172"/>
      <c r="D155" s="151" t="s">
        <v>443</v>
      </c>
      <c r="E155" s="211">
        <v>2</v>
      </c>
      <c r="F155" s="212">
        <v>131847</v>
      </c>
      <c r="G155" s="151"/>
      <c r="H155" s="151"/>
      <c r="I155" s="151"/>
      <c r="J155" s="151"/>
      <c r="K155" s="151">
        <f>1375+táj2!K155</f>
        <v>1375</v>
      </c>
      <c r="L155" s="151"/>
      <c r="M155" s="151"/>
      <c r="N155" s="151"/>
      <c r="O155" s="151"/>
      <c r="P155" s="151"/>
      <c r="Q155" s="151">
        <f t="shared" si="10"/>
        <v>1375</v>
      </c>
    </row>
    <row r="156" spans="1:17" ht="15" customHeight="1" x14ac:dyDescent="0.25">
      <c r="A156" s="172"/>
      <c r="B156" s="172"/>
      <c r="C156" s="172"/>
      <c r="D156" s="358" t="s">
        <v>444</v>
      </c>
      <c r="E156" s="211">
        <v>2</v>
      </c>
      <c r="F156" s="212">
        <v>131848</v>
      </c>
      <c r="G156" s="151"/>
      <c r="H156" s="151"/>
      <c r="I156" s="151"/>
      <c r="J156" s="151"/>
      <c r="K156" s="151">
        <f>225+táj2!K156</f>
        <v>225</v>
      </c>
      <c r="L156" s="151"/>
      <c r="M156" s="151"/>
      <c r="N156" s="151"/>
      <c r="O156" s="151"/>
      <c r="P156" s="151"/>
      <c r="Q156" s="151">
        <f t="shared" si="10"/>
        <v>225</v>
      </c>
    </row>
    <row r="157" spans="1:17" ht="15" customHeight="1" x14ac:dyDescent="0.25">
      <c r="A157" s="172"/>
      <c r="B157" s="172"/>
      <c r="C157" s="172"/>
      <c r="D157" s="358" t="s">
        <v>445</v>
      </c>
      <c r="E157" s="211">
        <v>2</v>
      </c>
      <c r="F157" s="212">
        <v>131850</v>
      </c>
      <c r="G157" s="151"/>
      <c r="H157" s="151"/>
      <c r="I157" s="151"/>
      <c r="J157" s="151"/>
      <c r="K157" s="151">
        <f>450+táj2!K157</f>
        <v>450</v>
      </c>
      <c r="L157" s="151"/>
      <c r="M157" s="151"/>
      <c r="N157" s="151"/>
      <c r="O157" s="151"/>
      <c r="P157" s="151"/>
      <c r="Q157" s="151">
        <f t="shared" si="10"/>
        <v>450</v>
      </c>
    </row>
    <row r="158" spans="1:17" ht="15" customHeight="1" x14ac:dyDescent="0.25">
      <c r="A158" s="172"/>
      <c r="B158" s="172"/>
      <c r="C158" s="172"/>
      <c r="D158" s="358" t="s">
        <v>446</v>
      </c>
      <c r="E158" s="211">
        <v>2</v>
      </c>
      <c r="F158" s="212">
        <v>131851</v>
      </c>
      <c r="G158" s="151"/>
      <c r="H158" s="151"/>
      <c r="I158" s="151"/>
      <c r="J158" s="151"/>
      <c r="K158" s="151">
        <f>360+táj2!K158</f>
        <v>360</v>
      </c>
      <c r="L158" s="151"/>
      <c r="M158" s="151"/>
      <c r="N158" s="151"/>
      <c r="O158" s="151"/>
      <c r="P158" s="151"/>
      <c r="Q158" s="151">
        <f t="shared" si="10"/>
        <v>360</v>
      </c>
    </row>
    <row r="159" spans="1:17" ht="15" customHeight="1" x14ac:dyDescent="0.25">
      <c r="A159" s="172"/>
      <c r="B159" s="172"/>
      <c r="C159" s="172"/>
      <c r="D159" s="352" t="s">
        <v>447</v>
      </c>
      <c r="E159" s="211">
        <v>2</v>
      </c>
      <c r="F159" s="212">
        <v>131852</v>
      </c>
      <c r="G159" s="151"/>
      <c r="H159" s="151"/>
      <c r="I159" s="151"/>
      <c r="J159" s="151"/>
      <c r="K159" s="151">
        <f>2000+táj2!K159</f>
        <v>2000</v>
      </c>
      <c r="L159" s="151"/>
      <c r="M159" s="151"/>
      <c r="N159" s="151"/>
      <c r="O159" s="151"/>
      <c r="P159" s="151"/>
      <c r="Q159" s="151">
        <f t="shared" si="10"/>
        <v>2000</v>
      </c>
    </row>
    <row r="160" spans="1:17" ht="40.5" customHeight="1" x14ac:dyDescent="0.25">
      <c r="A160" s="172"/>
      <c r="B160" s="172"/>
      <c r="C160" s="172"/>
      <c r="D160" s="601" t="s">
        <v>448</v>
      </c>
      <c r="E160" s="214">
        <v>2</v>
      </c>
      <c r="F160" s="210">
        <v>131853</v>
      </c>
      <c r="G160" s="151"/>
      <c r="H160" s="151"/>
      <c r="I160" s="151"/>
      <c r="J160" s="151"/>
      <c r="K160" s="151">
        <f>3000+táj2!K160</f>
        <v>3000</v>
      </c>
      <c r="L160" s="151"/>
      <c r="M160" s="151"/>
      <c r="N160" s="151"/>
      <c r="O160" s="151"/>
      <c r="P160" s="151"/>
      <c r="Q160" s="151">
        <f t="shared" si="10"/>
        <v>3000</v>
      </c>
    </row>
    <row r="161" spans="1:17" ht="26.25" customHeight="1" x14ac:dyDescent="0.25">
      <c r="A161" s="172"/>
      <c r="B161" s="172"/>
      <c r="C161" s="172"/>
      <c r="D161" s="213" t="s">
        <v>449</v>
      </c>
      <c r="E161" s="214">
        <v>2</v>
      </c>
      <c r="F161" s="210">
        <v>131862</v>
      </c>
      <c r="G161" s="151"/>
      <c r="H161" s="151"/>
      <c r="I161" s="151"/>
      <c r="J161" s="151"/>
      <c r="K161" s="151">
        <f>2500+táj2!K161</f>
        <v>2500</v>
      </c>
      <c r="L161" s="151"/>
      <c r="M161" s="151"/>
      <c r="N161" s="151"/>
      <c r="O161" s="151"/>
      <c r="P161" s="151"/>
      <c r="Q161" s="151">
        <f t="shared" si="10"/>
        <v>2500</v>
      </c>
    </row>
    <row r="162" spans="1:17" ht="16.95" customHeight="1" x14ac:dyDescent="0.25">
      <c r="A162" s="507"/>
      <c r="B162" s="507"/>
      <c r="C162" s="507"/>
      <c r="D162" s="513" t="s">
        <v>1103</v>
      </c>
      <c r="E162" s="514">
        <v>2</v>
      </c>
      <c r="F162" s="515">
        <v>131854</v>
      </c>
      <c r="G162" s="510"/>
      <c r="H162" s="510"/>
      <c r="I162" s="510"/>
      <c r="J162" s="510"/>
      <c r="K162" s="151">
        <f>10000+táj2!K162</f>
        <v>10000</v>
      </c>
      <c r="L162" s="510"/>
      <c r="M162" s="510"/>
      <c r="N162" s="510"/>
      <c r="O162" s="510"/>
      <c r="P162" s="510"/>
      <c r="Q162" s="510">
        <f t="shared" si="10"/>
        <v>10000</v>
      </c>
    </row>
    <row r="163" spans="1:17" ht="15" customHeight="1" x14ac:dyDescent="0.25">
      <c r="A163" s="172"/>
      <c r="B163" s="172"/>
      <c r="C163" s="172"/>
      <c r="D163" s="359" t="s">
        <v>450</v>
      </c>
      <c r="E163" s="211">
        <v>2</v>
      </c>
      <c r="F163" s="212">
        <v>131859</v>
      </c>
      <c r="G163" s="151"/>
      <c r="H163" s="151"/>
      <c r="I163" s="151"/>
      <c r="J163" s="151"/>
      <c r="K163" s="151">
        <f>50+táj2!K163</f>
        <v>50</v>
      </c>
      <c r="L163" s="151"/>
      <c r="M163" s="151"/>
      <c r="N163" s="151"/>
      <c r="O163" s="151"/>
      <c r="P163" s="151"/>
      <c r="Q163" s="151">
        <f t="shared" si="10"/>
        <v>50</v>
      </c>
    </row>
    <row r="164" spans="1:17" ht="15" customHeight="1" x14ac:dyDescent="0.25">
      <c r="A164" s="172"/>
      <c r="B164" s="172"/>
      <c r="C164" s="172"/>
      <c r="D164" s="359" t="s">
        <v>451</v>
      </c>
      <c r="E164" s="211">
        <v>2</v>
      </c>
      <c r="F164" s="212">
        <v>131860</v>
      </c>
      <c r="G164" s="151"/>
      <c r="H164" s="151"/>
      <c r="I164" s="151"/>
      <c r="J164" s="151"/>
      <c r="K164" s="151">
        <f>50+táj2!K164</f>
        <v>50</v>
      </c>
      <c r="L164" s="151"/>
      <c r="M164" s="151"/>
      <c r="N164" s="151"/>
      <c r="O164" s="151"/>
      <c r="P164" s="151"/>
      <c r="Q164" s="151">
        <f t="shared" si="10"/>
        <v>50</v>
      </c>
    </row>
    <row r="165" spans="1:17" ht="15" customHeight="1" x14ac:dyDescent="0.25">
      <c r="A165" s="172"/>
      <c r="B165" s="172"/>
      <c r="C165" s="172"/>
      <c r="D165" s="359" t="s">
        <v>452</v>
      </c>
      <c r="E165" s="211">
        <v>2</v>
      </c>
      <c r="F165" s="212">
        <v>131861</v>
      </c>
      <c r="G165" s="151"/>
      <c r="H165" s="151"/>
      <c r="I165" s="151"/>
      <c r="J165" s="151"/>
      <c r="K165" s="151">
        <f>50+táj2!K165</f>
        <v>50</v>
      </c>
      <c r="L165" s="151"/>
      <c r="M165" s="151"/>
      <c r="N165" s="151"/>
      <c r="O165" s="151"/>
      <c r="P165" s="151"/>
      <c r="Q165" s="151">
        <f t="shared" si="10"/>
        <v>50</v>
      </c>
    </row>
    <row r="166" spans="1:17" ht="15" customHeight="1" x14ac:dyDescent="0.25">
      <c r="A166" s="172"/>
      <c r="B166" s="172"/>
      <c r="C166" s="172"/>
      <c r="D166" s="185" t="s">
        <v>453</v>
      </c>
      <c r="E166" s="183">
        <v>2</v>
      </c>
      <c r="F166" s="151">
        <v>131829</v>
      </c>
      <c r="G166" s="151">
        <f>400+táj2!G166</f>
        <v>400</v>
      </c>
      <c r="H166" s="151">
        <f>145+táj2!H166</f>
        <v>145</v>
      </c>
      <c r="I166" s="151">
        <f>355+táj2!I166</f>
        <v>355</v>
      </c>
      <c r="J166" s="151"/>
      <c r="K166" s="151">
        <f>800+táj2!K166</f>
        <v>800</v>
      </c>
      <c r="L166" s="151"/>
      <c r="M166" s="151"/>
      <c r="N166" s="151"/>
      <c r="O166" s="151"/>
      <c r="P166" s="151"/>
      <c r="Q166" s="151">
        <f t="shared" si="10"/>
        <v>1700</v>
      </c>
    </row>
    <row r="167" spans="1:17" ht="15" customHeight="1" x14ac:dyDescent="0.25">
      <c r="A167" s="172"/>
      <c r="B167" s="172"/>
      <c r="C167" s="172"/>
      <c r="D167" s="628" t="s">
        <v>1228</v>
      </c>
      <c r="E167" s="183">
        <v>2</v>
      </c>
      <c r="F167" s="268">
        <v>131830</v>
      </c>
      <c r="G167" s="151"/>
      <c r="H167" s="151"/>
      <c r="I167" s="151">
        <f>500+táj2!I167</f>
        <v>0</v>
      </c>
      <c r="J167" s="151"/>
      <c r="K167" s="151">
        <f>0+táj2!K167</f>
        <v>500</v>
      </c>
      <c r="L167" s="151"/>
      <c r="M167" s="151"/>
      <c r="N167" s="151"/>
      <c r="O167" s="151"/>
      <c r="P167" s="151"/>
      <c r="Q167" s="151">
        <f t="shared" si="10"/>
        <v>500</v>
      </c>
    </row>
    <row r="168" spans="1:17" ht="15" customHeight="1" x14ac:dyDescent="0.25">
      <c r="A168" s="172"/>
      <c r="B168" s="172"/>
      <c r="C168" s="172"/>
      <c r="D168" s="151" t="s">
        <v>454</v>
      </c>
      <c r="E168" s="183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/>
    </row>
    <row r="169" spans="1:17" ht="15" customHeight="1" x14ac:dyDescent="0.25">
      <c r="A169" s="172"/>
      <c r="B169" s="172"/>
      <c r="C169" s="188"/>
      <c r="D169" s="186" t="s">
        <v>455</v>
      </c>
      <c r="E169" s="183">
        <v>1</v>
      </c>
      <c r="F169" s="151">
        <v>131827</v>
      </c>
      <c r="G169" s="151"/>
      <c r="H169" s="151"/>
      <c r="I169" s="151">
        <f>42152+táj2!I169</f>
        <v>13329</v>
      </c>
      <c r="J169" s="151"/>
      <c r="K169" s="151">
        <f>0+táj2!K169</f>
        <v>28823</v>
      </c>
      <c r="L169" s="151"/>
      <c r="M169" s="151"/>
      <c r="N169" s="151"/>
      <c r="O169" s="151"/>
      <c r="P169" s="151"/>
      <c r="Q169" s="151">
        <f>SUM(G169:P169)</f>
        <v>42152</v>
      </c>
    </row>
    <row r="170" spans="1:17" ht="15" customHeight="1" x14ac:dyDescent="0.25">
      <c r="A170" s="172"/>
      <c r="B170" s="172"/>
      <c r="C170" s="188"/>
      <c r="D170" s="186" t="s">
        <v>456</v>
      </c>
      <c r="E170" s="151">
        <v>2</v>
      </c>
      <c r="F170" s="151">
        <v>131857</v>
      </c>
      <c r="G170" s="151"/>
      <c r="H170" s="151"/>
      <c r="I170" s="151"/>
      <c r="J170" s="151"/>
      <c r="K170" s="151">
        <f>13000+táj2!K170</f>
        <v>13000</v>
      </c>
      <c r="L170" s="151"/>
      <c r="M170" s="151"/>
      <c r="N170" s="151"/>
      <c r="O170" s="151"/>
      <c r="P170" s="151"/>
      <c r="Q170" s="151">
        <f>SUM(G170:P170)</f>
        <v>13000</v>
      </c>
    </row>
    <row r="171" spans="1:17" ht="15" customHeight="1" x14ac:dyDescent="0.25">
      <c r="A171" s="172"/>
      <c r="B171" s="172"/>
      <c r="C171" s="188"/>
      <c r="D171" s="215" t="s">
        <v>457</v>
      </c>
      <c r="E171" s="151">
        <v>2</v>
      </c>
      <c r="F171" s="151">
        <v>131844</v>
      </c>
      <c r="G171" s="151"/>
      <c r="H171" s="151"/>
      <c r="I171" s="151"/>
      <c r="J171" s="151"/>
      <c r="K171" s="151">
        <f>24842+táj2!K171</f>
        <v>24842</v>
      </c>
      <c r="L171" s="151"/>
      <c r="M171" s="151"/>
      <c r="N171" s="151"/>
      <c r="O171" s="151"/>
      <c r="P171" s="151"/>
      <c r="Q171" s="151">
        <f>SUM(G171:P171)</f>
        <v>24842</v>
      </c>
    </row>
    <row r="172" spans="1:17" ht="15" customHeight="1" x14ac:dyDescent="0.25">
      <c r="A172" s="172"/>
      <c r="B172" s="172"/>
      <c r="C172" s="188"/>
      <c r="D172" s="433" t="s">
        <v>1092</v>
      </c>
      <c r="E172" s="192">
        <v>2</v>
      </c>
      <c r="F172" s="151">
        <v>221966</v>
      </c>
      <c r="G172" s="255"/>
      <c r="H172" s="255"/>
      <c r="I172" s="255"/>
      <c r="J172" s="255"/>
      <c r="K172" s="151">
        <f>70000+táj2!K172</f>
        <v>70000</v>
      </c>
      <c r="L172" s="255"/>
      <c r="M172" s="255"/>
      <c r="N172" s="255"/>
      <c r="O172" s="255"/>
      <c r="P172" s="255"/>
      <c r="Q172" s="243">
        <f>SUM(G172:P172)</f>
        <v>70000</v>
      </c>
    </row>
    <row r="173" spans="1:17" ht="15" customHeight="1" x14ac:dyDescent="0.25">
      <c r="A173" s="172"/>
      <c r="B173" s="172"/>
      <c r="C173" s="188"/>
      <c r="D173" s="566" t="s">
        <v>1086</v>
      </c>
      <c r="E173" s="151">
        <v>2</v>
      </c>
      <c r="F173" s="151">
        <v>191801</v>
      </c>
      <c r="G173" s="151"/>
      <c r="H173" s="151"/>
      <c r="I173" s="151"/>
      <c r="J173" s="151"/>
      <c r="K173" s="151">
        <f>270000+táj2!K173</f>
        <v>270000</v>
      </c>
      <c r="L173" s="151"/>
      <c r="M173" s="151"/>
      <c r="N173" s="151"/>
      <c r="O173" s="151"/>
      <c r="P173" s="151"/>
      <c r="Q173" s="151">
        <f>SUM(G173:P173)</f>
        <v>270000</v>
      </c>
    </row>
    <row r="174" spans="1:17" ht="12" customHeight="1" x14ac:dyDescent="0.25">
      <c r="A174" s="194"/>
      <c r="B174" s="194"/>
      <c r="C174" s="195"/>
      <c r="D174" s="196" t="s">
        <v>458</v>
      </c>
      <c r="E174" s="197"/>
      <c r="F174" s="198"/>
      <c r="G174" s="216">
        <f t="shared" ref="G174:Q174" si="11">SUM(G50:G173)</f>
        <v>4405</v>
      </c>
      <c r="H174" s="216">
        <f t="shared" si="11"/>
        <v>1494</v>
      </c>
      <c r="I174" s="216">
        <f t="shared" si="11"/>
        <v>49675</v>
      </c>
      <c r="J174" s="216">
        <f t="shared" si="11"/>
        <v>6100</v>
      </c>
      <c r="K174" s="216">
        <f t="shared" si="11"/>
        <v>1340909</v>
      </c>
      <c r="L174" s="216">
        <f t="shared" si="11"/>
        <v>0</v>
      </c>
      <c r="M174" s="216">
        <f t="shared" si="11"/>
        <v>0</v>
      </c>
      <c r="N174" s="216">
        <f t="shared" si="11"/>
        <v>500</v>
      </c>
      <c r="O174" s="216">
        <f t="shared" si="11"/>
        <v>0</v>
      </c>
      <c r="P174" s="216">
        <f t="shared" si="11"/>
        <v>0</v>
      </c>
      <c r="Q174" s="216">
        <f t="shared" si="11"/>
        <v>1403083</v>
      </c>
    </row>
    <row r="175" spans="1:17" ht="12" customHeight="1" x14ac:dyDescent="0.25">
      <c r="A175" s="199"/>
      <c r="B175" s="199"/>
      <c r="C175" s="217"/>
      <c r="D175" s="218" t="s">
        <v>352</v>
      </c>
      <c r="E175" s="201"/>
      <c r="F175" s="202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</row>
    <row r="176" spans="1:17" ht="15" customHeight="1" x14ac:dyDescent="0.25">
      <c r="A176" s="199"/>
      <c r="B176" s="199"/>
      <c r="C176" s="217" t="s">
        <v>92</v>
      </c>
      <c r="D176" s="221" t="s">
        <v>361</v>
      </c>
      <c r="E176" s="201"/>
      <c r="F176" s="202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</row>
    <row r="177" spans="1:17" ht="15" customHeight="1" x14ac:dyDescent="0.25">
      <c r="A177" s="199"/>
      <c r="B177" s="199"/>
      <c r="C177" s="360" t="s">
        <v>459</v>
      </c>
      <c r="D177" s="361" t="s">
        <v>460</v>
      </c>
      <c r="E177" s="222"/>
      <c r="F177" s="202"/>
      <c r="G177" s="223"/>
      <c r="H177" s="223"/>
      <c r="I177" s="223"/>
      <c r="J177" s="223"/>
      <c r="K177" s="223"/>
      <c r="L177" s="223"/>
      <c r="M177" s="223"/>
      <c r="N177" s="223"/>
      <c r="O177" s="223"/>
      <c r="P177" s="223"/>
      <c r="Q177" s="223"/>
    </row>
    <row r="178" spans="1:17" ht="18.75" customHeight="1" x14ac:dyDescent="0.25">
      <c r="A178" s="199"/>
      <c r="B178" s="199"/>
      <c r="C178" s="188" t="s">
        <v>461</v>
      </c>
      <c r="D178" s="277" t="s">
        <v>467</v>
      </c>
      <c r="E178" s="200"/>
      <c r="F178" s="151">
        <v>134908</v>
      </c>
      <c r="G178" s="192"/>
      <c r="H178" s="192"/>
      <c r="I178" s="192">
        <f>125+táj2!I178</f>
        <v>125</v>
      </c>
      <c r="J178" s="192"/>
      <c r="K178" s="192"/>
      <c r="L178" s="192"/>
      <c r="M178" s="192">
        <f>4000+táj2!M178</f>
        <v>3000</v>
      </c>
      <c r="N178" s="192"/>
      <c r="O178" s="192"/>
      <c r="P178" s="192"/>
      <c r="Q178" s="223">
        <f t="shared" ref="Q178" si="12">SUM(G178:P178)</f>
        <v>3125</v>
      </c>
    </row>
    <row r="179" spans="1:17" ht="18" customHeight="1" x14ac:dyDescent="0.25">
      <c r="A179" s="199"/>
      <c r="B179" s="199"/>
      <c r="C179" s="188" t="s">
        <v>462</v>
      </c>
      <c r="D179" s="363" t="s">
        <v>463</v>
      </c>
      <c r="E179" s="200"/>
      <c r="F179" s="151">
        <v>134920</v>
      </c>
      <c r="G179" s="192"/>
      <c r="H179" s="192"/>
      <c r="I179" s="192"/>
      <c r="J179" s="192"/>
      <c r="K179" s="192"/>
      <c r="L179" s="192"/>
      <c r="M179" s="192"/>
      <c r="N179" s="192">
        <f>350+táj2!N179</f>
        <v>350</v>
      </c>
      <c r="O179" s="192"/>
      <c r="P179" s="192"/>
      <c r="Q179" s="223">
        <f t="shared" ref="Q179:Q184" si="13">SUM(G179:P179)</f>
        <v>350</v>
      </c>
    </row>
    <row r="180" spans="1:17" ht="18" customHeight="1" x14ac:dyDescent="0.25">
      <c r="A180" s="199"/>
      <c r="B180" s="199"/>
      <c r="C180" s="188" t="s">
        <v>464</v>
      </c>
      <c r="D180" s="580" t="s">
        <v>1227</v>
      </c>
      <c r="E180" s="574"/>
      <c r="F180" s="510">
        <v>132904</v>
      </c>
      <c r="G180" s="192"/>
      <c r="H180" s="192"/>
      <c r="I180" s="192"/>
      <c r="J180" s="192"/>
      <c r="K180" s="192"/>
      <c r="L180" s="192"/>
      <c r="M180" s="192"/>
      <c r="N180" s="192">
        <f>4000+táj2!N180</f>
        <v>2000</v>
      </c>
      <c r="O180" s="192"/>
      <c r="P180" s="192"/>
      <c r="Q180" s="223">
        <f t="shared" si="13"/>
        <v>2000</v>
      </c>
    </row>
    <row r="181" spans="1:17" ht="18" customHeight="1" x14ac:dyDescent="0.25">
      <c r="A181" s="199"/>
      <c r="B181" s="199"/>
      <c r="C181" s="188" t="s">
        <v>465</v>
      </c>
      <c r="D181" s="766" t="s">
        <v>893</v>
      </c>
      <c r="E181" s="814"/>
      <c r="F181" s="151">
        <v>134944</v>
      </c>
      <c r="G181" s="192"/>
      <c r="H181" s="192"/>
      <c r="I181" s="192"/>
      <c r="J181" s="192"/>
      <c r="K181" s="192"/>
      <c r="L181" s="192"/>
      <c r="M181" s="192"/>
      <c r="N181" s="192">
        <f>1000+táj2!N181</f>
        <v>1000</v>
      </c>
      <c r="O181" s="192"/>
      <c r="P181" s="192"/>
      <c r="Q181" s="223">
        <f t="shared" si="13"/>
        <v>1000</v>
      </c>
    </row>
    <row r="182" spans="1:17" ht="18" customHeight="1" x14ac:dyDescent="0.25">
      <c r="A182" s="199"/>
      <c r="B182" s="199"/>
      <c r="C182" s="188" t="s">
        <v>466</v>
      </c>
      <c r="D182" s="277" t="s">
        <v>1159</v>
      </c>
      <c r="E182" s="200"/>
      <c r="F182" s="268">
        <v>134903</v>
      </c>
      <c r="G182" s="192"/>
      <c r="H182" s="192"/>
      <c r="I182" s="192"/>
      <c r="J182" s="192"/>
      <c r="K182" s="192"/>
      <c r="L182" s="192"/>
      <c r="M182" s="192">
        <f>2200+táj2!M182</f>
        <v>2200</v>
      </c>
      <c r="N182" s="192"/>
      <c r="O182" s="192"/>
      <c r="P182" s="192"/>
      <c r="Q182" s="223">
        <f t="shared" si="13"/>
        <v>2200</v>
      </c>
    </row>
    <row r="183" spans="1:17" ht="18" customHeight="1" x14ac:dyDescent="0.25">
      <c r="A183" s="641"/>
      <c r="B183" s="641"/>
      <c r="C183" s="188" t="s">
        <v>1236</v>
      </c>
      <c r="D183" s="642" t="s">
        <v>1237</v>
      </c>
      <c r="E183" s="640"/>
      <c r="F183" s="644">
        <v>134916</v>
      </c>
      <c r="G183" s="637"/>
      <c r="H183" s="637"/>
      <c r="I183" s="637"/>
      <c r="J183" s="637"/>
      <c r="K183" s="637"/>
      <c r="L183" s="637"/>
      <c r="M183" s="192">
        <f>2000+táj2!M183</f>
        <v>2000</v>
      </c>
      <c r="N183" s="192"/>
      <c r="O183" s="637"/>
      <c r="P183" s="637"/>
      <c r="Q183" s="223">
        <f t="shared" si="13"/>
        <v>2000</v>
      </c>
    </row>
    <row r="184" spans="1:17" ht="18" customHeight="1" x14ac:dyDescent="0.25">
      <c r="A184" s="757"/>
      <c r="B184" s="757"/>
      <c r="C184" s="758" t="s">
        <v>1296</v>
      </c>
      <c r="D184" s="759" t="s">
        <v>1297</v>
      </c>
      <c r="E184" s="640"/>
      <c r="F184" s="760">
        <v>134971</v>
      </c>
      <c r="G184" s="761"/>
      <c r="H184" s="761"/>
      <c r="I184" s="761"/>
      <c r="J184" s="761"/>
      <c r="K184" s="761"/>
      <c r="L184" s="761"/>
      <c r="M184" s="192">
        <f>0+táj2!M184</f>
        <v>4000</v>
      </c>
      <c r="N184" s="761"/>
      <c r="O184" s="761"/>
      <c r="P184" s="761"/>
      <c r="Q184" s="223">
        <f t="shared" si="13"/>
        <v>4000</v>
      </c>
    </row>
    <row r="185" spans="1:17" ht="15" customHeight="1" x14ac:dyDescent="0.25">
      <c r="A185" s="199"/>
      <c r="B185" s="199"/>
      <c r="C185" s="217" t="s">
        <v>468</v>
      </c>
      <c r="D185" s="364" t="s">
        <v>469</v>
      </c>
      <c r="E185" s="200"/>
      <c r="F185" s="151"/>
      <c r="G185" s="192"/>
      <c r="H185" s="192"/>
      <c r="I185" s="192"/>
      <c r="J185" s="192"/>
      <c r="K185" s="192"/>
      <c r="L185" s="192"/>
      <c r="M185" s="192"/>
      <c r="N185" s="192"/>
      <c r="O185" s="192"/>
      <c r="P185" s="192"/>
      <c r="Q185" s="223"/>
    </row>
    <row r="186" spans="1:17" ht="17.25" customHeight="1" x14ac:dyDescent="0.25">
      <c r="A186" s="199"/>
      <c r="B186" s="199"/>
      <c r="C186" s="225" t="s">
        <v>470</v>
      </c>
      <c r="D186" s="365" t="s">
        <v>471</v>
      </c>
      <c r="E186" s="200"/>
      <c r="F186" s="151">
        <v>134928</v>
      </c>
      <c r="G186" s="192"/>
      <c r="H186" s="192"/>
      <c r="I186" s="192"/>
      <c r="J186" s="192"/>
      <c r="K186" s="192"/>
      <c r="L186" s="192"/>
      <c r="M186" s="192"/>
      <c r="N186" s="192">
        <f>350+táj2!N186</f>
        <v>350</v>
      </c>
      <c r="O186" s="192"/>
      <c r="P186" s="192"/>
      <c r="Q186" s="223">
        <f>SUM(G186:P186)</f>
        <v>350</v>
      </c>
    </row>
    <row r="187" spans="1:17" ht="18" customHeight="1" x14ac:dyDescent="0.25">
      <c r="A187" s="199"/>
      <c r="B187" s="199"/>
      <c r="C187" s="507" t="s">
        <v>472</v>
      </c>
      <c r="D187" s="681" t="s">
        <v>1160</v>
      </c>
      <c r="E187" s="816"/>
      <c r="F187" s="651">
        <v>134917</v>
      </c>
      <c r="G187" s="192"/>
      <c r="H187" s="192"/>
      <c r="I187" s="192"/>
      <c r="J187" s="192"/>
      <c r="K187" s="192"/>
      <c r="L187" s="192"/>
      <c r="M187" s="192">
        <f>300+táj2!M187</f>
        <v>300</v>
      </c>
      <c r="N187" s="192"/>
      <c r="O187" s="192"/>
      <c r="P187" s="192"/>
      <c r="Q187" s="223">
        <f t="shared" ref="Q187:Q191" si="14">SUM(L187:P187)</f>
        <v>300</v>
      </c>
    </row>
    <row r="188" spans="1:17" ht="26.25" customHeight="1" x14ac:dyDescent="0.25">
      <c r="A188" s="199"/>
      <c r="B188" s="199"/>
      <c r="C188" s="507" t="s">
        <v>473</v>
      </c>
      <c r="D188" s="763" t="s">
        <v>1161</v>
      </c>
      <c r="E188" s="816"/>
      <c r="F188" s="651">
        <v>134922</v>
      </c>
      <c r="G188" s="192"/>
      <c r="H188" s="192"/>
      <c r="I188" s="192"/>
      <c r="J188" s="192"/>
      <c r="K188" s="192"/>
      <c r="L188" s="192"/>
      <c r="M188" s="192">
        <f>2520+táj2!M188</f>
        <v>2520</v>
      </c>
      <c r="N188" s="192"/>
      <c r="O188" s="192"/>
      <c r="P188" s="192"/>
      <c r="Q188" s="223">
        <f t="shared" si="14"/>
        <v>2520</v>
      </c>
    </row>
    <row r="189" spans="1:17" ht="19.5" customHeight="1" x14ac:dyDescent="0.25">
      <c r="A189" s="576"/>
      <c r="B189" s="576"/>
      <c r="C189" s="507"/>
      <c r="D189" s="813" t="s">
        <v>1162</v>
      </c>
      <c r="E189" s="816"/>
      <c r="F189" s="651"/>
      <c r="G189" s="511"/>
      <c r="H189" s="511"/>
      <c r="I189" s="511"/>
      <c r="J189" s="511"/>
      <c r="K189" s="511"/>
      <c r="L189" s="511"/>
      <c r="M189" s="192"/>
      <c r="N189" s="192"/>
      <c r="O189" s="511"/>
      <c r="P189" s="511"/>
      <c r="Q189" s="223"/>
    </row>
    <row r="190" spans="1:17" ht="20.25" customHeight="1" x14ac:dyDescent="0.25">
      <c r="A190" s="576"/>
      <c r="B190" s="576"/>
      <c r="C190" s="507" t="s">
        <v>1163</v>
      </c>
      <c r="D190" s="763" t="s">
        <v>1252</v>
      </c>
      <c r="E190" s="815"/>
      <c r="F190" s="651">
        <v>134953</v>
      </c>
      <c r="G190" s="511"/>
      <c r="H190" s="511"/>
      <c r="I190" s="511"/>
      <c r="J190" s="511"/>
      <c r="K190" s="511"/>
      <c r="L190" s="511"/>
      <c r="M190" s="192">
        <f>2300+táj2!M190</f>
        <v>2300</v>
      </c>
      <c r="N190" s="192"/>
      <c r="O190" s="511"/>
      <c r="P190" s="511"/>
      <c r="Q190" s="223">
        <f t="shared" si="14"/>
        <v>2300</v>
      </c>
    </row>
    <row r="191" spans="1:17" ht="18" customHeight="1" x14ac:dyDescent="0.25">
      <c r="A191" s="199"/>
      <c r="B191" s="199"/>
      <c r="C191" s="507" t="s">
        <v>1202</v>
      </c>
      <c r="D191" s="811" t="s">
        <v>1178</v>
      </c>
      <c r="E191" s="812"/>
      <c r="F191" s="652">
        <v>132965</v>
      </c>
      <c r="G191" s="192"/>
      <c r="H191" s="192"/>
      <c r="I191" s="192"/>
      <c r="J191" s="192"/>
      <c r="K191" s="192"/>
      <c r="L191" s="192"/>
      <c r="M191" s="192"/>
      <c r="N191" s="192">
        <f>6000+táj2!N191</f>
        <v>6000</v>
      </c>
      <c r="O191" s="192"/>
      <c r="P191" s="192"/>
      <c r="Q191" s="223">
        <f t="shared" si="14"/>
        <v>6000</v>
      </c>
    </row>
    <row r="192" spans="1:17" ht="15" customHeight="1" x14ac:dyDescent="0.25">
      <c r="A192" s="199"/>
      <c r="B192" s="199"/>
      <c r="C192" s="582" t="s">
        <v>91</v>
      </c>
      <c r="D192" s="795" t="s">
        <v>368</v>
      </c>
      <c r="E192" s="810"/>
      <c r="F192" s="151"/>
      <c r="G192" s="192"/>
      <c r="H192" s="192"/>
      <c r="I192" s="192"/>
      <c r="J192" s="192"/>
      <c r="K192" s="192"/>
      <c r="L192" s="192"/>
      <c r="M192" s="192"/>
      <c r="N192" s="192"/>
      <c r="O192" s="192"/>
      <c r="P192" s="192"/>
      <c r="Q192" s="223"/>
    </row>
    <row r="193" spans="1:17" ht="27" customHeight="1" x14ac:dyDescent="0.25">
      <c r="A193" s="199"/>
      <c r="B193" s="199"/>
      <c r="C193" s="188" t="s">
        <v>474</v>
      </c>
      <c r="D193" s="808" t="s">
        <v>1122</v>
      </c>
      <c r="E193" s="809"/>
      <c r="F193" s="151">
        <v>134912</v>
      </c>
      <c r="G193" s="151"/>
      <c r="H193" s="151"/>
      <c r="I193" s="151"/>
      <c r="J193" s="151"/>
      <c r="K193" s="151"/>
      <c r="L193" s="151"/>
      <c r="M193" s="192">
        <f>3000+táj2!M193</f>
        <v>3200</v>
      </c>
      <c r="N193" s="192"/>
      <c r="O193" s="151"/>
      <c r="P193" s="151"/>
      <c r="Q193" s="151">
        <f t="shared" ref="Q193" si="15">SUM(G193:P193)</f>
        <v>3200</v>
      </c>
    </row>
    <row r="194" spans="1:17" ht="18.75" customHeight="1" x14ac:dyDescent="0.25">
      <c r="A194" s="199"/>
      <c r="B194" s="199"/>
      <c r="C194" s="188" t="s">
        <v>475</v>
      </c>
      <c r="D194" s="186" t="s">
        <v>1164</v>
      </c>
      <c r="E194" s="201"/>
      <c r="F194" s="268">
        <v>134925</v>
      </c>
      <c r="G194" s="192"/>
      <c r="H194" s="192"/>
      <c r="I194" s="192"/>
      <c r="J194" s="192"/>
      <c r="K194" s="192"/>
      <c r="L194" s="192"/>
      <c r="M194" s="192">
        <f>2000+táj2!M194</f>
        <v>2000</v>
      </c>
      <c r="N194" s="192"/>
      <c r="O194" s="192"/>
      <c r="P194" s="192"/>
      <c r="Q194" s="223">
        <f t="shared" ref="Q194:Q196" si="16">SUM(M194:P194)</f>
        <v>2000</v>
      </c>
    </row>
    <row r="195" spans="1:17" ht="18.75" customHeight="1" x14ac:dyDescent="0.25">
      <c r="A195" s="199"/>
      <c r="B195" s="199"/>
      <c r="C195" s="188" t="s">
        <v>865</v>
      </c>
      <c r="D195" s="193" t="s">
        <v>1177</v>
      </c>
      <c r="E195" s="201"/>
      <c r="F195" s="268">
        <v>132936</v>
      </c>
      <c r="G195" s="192"/>
      <c r="H195" s="192"/>
      <c r="I195" s="192"/>
      <c r="J195" s="192"/>
      <c r="K195" s="192"/>
      <c r="L195" s="192"/>
      <c r="M195" s="192"/>
      <c r="N195" s="192">
        <f>12540+táj2!N195</f>
        <v>0</v>
      </c>
      <c r="O195" s="192"/>
      <c r="P195" s="192"/>
      <c r="Q195" s="223">
        <f t="shared" si="16"/>
        <v>0</v>
      </c>
    </row>
    <row r="196" spans="1:17" ht="16.2" customHeight="1" x14ac:dyDescent="0.25">
      <c r="A196" s="199"/>
      <c r="B196" s="199"/>
      <c r="C196" s="188" t="s">
        <v>894</v>
      </c>
      <c r="D196" s="193" t="s">
        <v>1180</v>
      </c>
      <c r="E196" s="200"/>
      <c r="F196" s="268">
        <v>134934</v>
      </c>
      <c r="G196" s="151"/>
      <c r="H196" s="151"/>
      <c r="I196" s="151"/>
      <c r="J196" s="151"/>
      <c r="K196" s="151"/>
      <c r="L196" s="151"/>
      <c r="M196" s="192">
        <f>10000+táj2!M196</f>
        <v>10000</v>
      </c>
      <c r="N196" s="192"/>
      <c r="O196" s="151"/>
      <c r="P196" s="151"/>
      <c r="Q196" s="223">
        <f t="shared" si="16"/>
        <v>10000</v>
      </c>
    </row>
    <row r="197" spans="1:17" ht="16.95" customHeight="1" x14ac:dyDescent="0.25">
      <c r="A197" s="757"/>
      <c r="B197" s="757"/>
      <c r="C197" s="765" t="s">
        <v>1298</v>
      </c>
      <c r="D197" s="763" t="s">
        <v>1299</v>
      </c>
      <c r="E197" s="640"/>
      <c r="F197" s="760">
        <v>132940</v>
      </c>
      <c r="G197" s="764"/>
      <c r="H197" s="764"/>
      <c r="I197" s="764"/>
      <c r="J197" s="764"/>
      <c r="K197" s="764"/>
      <c r="L197" s="192">
        <f>0+táj2!L197</f>
        <v>5718</v>
      </c>
      <c r="M197" s="192"/>
      <c r="N197" s="761"/>
      <c r="O197" s="764"/>
      <c r="P197" s="764"/>
      <c r="Q197" s="223">
        <f>SUM(G197:P197)</f>
        <v>5718</v>
      </c>
    </row>
    <row r="198" spans="1:17" ht="15" customHeight="1" x14ac:dyDescent="0.25">
      <c r="A198" s="199"/>
      <c r="B198" s="199"/>
      <c r="C198" s="367" t="s">
        <v>93</v>
      </c>
      <c r="D198" s="217" t="s">
        <v>476</v>
      </c>
      <c r="E198" s="200"/>
      <c r="F198" s="268"/>
      <c r="G198" s="192"/>
      <c r="H198" s="192"/>
      <c r="I198" s="192"/>
      <c r="J198" s="192"/>
      <c r="K198" s="192"/>
      <c r="L198" s="192"/>
      <c r="M198" s="192"/>
      <c r="N198" s="192"/>
      <c r="O198" s="192"/>
      <c r="P198" s="192"/>
      <c r="Q198" s="223"/>
    </row>
    <row r="199" spans="1:17" ht="15" customHeight="1" x14ac:dyDescent="0.25">
      <c r="A199" s="199"/>
      <c r="B199" s="199"/>
      <c r="C199" s="284" t="s">
        <v>477</v>
      </c>
      <c r="D199" s="277" t="s">
        <v>479</v>
      </c>
      <c r="E199" s="200"/>
      <c r="F199" s="268">
        <v>134926</v>
      </c>
      <c r="G199" s="192"/>
      <c r="H199" s="192"/>
      <c r="I199" s="192"/>
      <c r="J199" s="192"/>
      <c r="K199" s="192"/>
      <c r="L199" s="192"/>
      <c r="M199" s="192"/>
      <c r="N199" s="192">
        <f>4000+táj2!N199</f>
        <v>4000</v>
      </c>
      <c r="O199" s="192"/>
      <c r="P199" s="192"/>
      <c r="Q199" s="223">
        <f t="shared" ref="Q199:Q207" si="17">SUM(G199:P199)</f>
        <v>4000</v>
      </c>
    </row>
    <row r="200" spans="1:17" ht="15" customHeight="1" x14ac:dyDescent="0.25">
      <c r="A200" s="576"/>
      <c r="B200" s="576"/>
      <c r="C200" s="284" t="s">
        <v>478</v>
      </c>
      <c r="D200" s="584" t="s">
        <v>1175</v>
      </c>
      <c r="E200" s="585"/>
      <c r="F200" s="586">
        <v>132935</v>
      </c>
      <c r="G200" s="511"/>
      <c r="H200" s="511"/>
      <c r="I200" s="511"/>
      <c r="J200" s="511"/>
      <c r="K200" s="511"/>
      <c r="L200" s="511"/>
      <c r="M200" s="192">
        <f>7500+táj2!M200</f>
        <v>7500</v>
      </c>
      <c r="N200" s="511"/>
      <c r="O200" s="511"/>
      <c r="P200" s="511"/>
      <c r="Q200" s="223">
        <f t="shared" si="17"/>
        <v>7500</v>
      </c>
    </row>
    <row r="201" spans="1:17" ht="24.75" customHeight="1" x14ac:dyDescent="0.25">
      <c r="A201" s="576"/>
      <c r="B201" s="576"/>
      <c r="C201" s="284" t="s">
        <v>601</v>
      </c>
      <c r="D201" s="580" t="s">
        <v>1165</v>
      </c>
      <c r="E201" s="574"/>
      <c r="F201" s="586">
        <v>134935</v>
      </c>
      <c r="G201" s="511"/>
      <c r="H201" s="511"/>
      <c r="I201" s="511"/>
      <c r="J201" s="511"/>
      <c r="K201" s="511"/>
      <c r="L201" s="511"/>
      <c r="M201" s="192">
        <f>8800+táj2!M201</f>
        <v>8800</v>
      </c>
      <c r="N201" s="511"/>
      <c r="O201" s="511"/>
      <c r="P201" s="511"/>
      <c r="Q201" s="223">
        <f t="shared" si="17"/>
        <v>8800</v>
      </c>
    </row>
    <row r="202" spans="1:17" ht="19.5" customHeight="1" x14ac:dyDescent="0.25">
      <c r="A202" s="576"/>
      <c r="B202" s="576"/>
      <c r="C202" s="284" t="s">
        <v>1003</v>
      </c>
      <c r="D202" s="580" t="s">
        <v>1179</v>
      </c>
      <c r="E202" s="574"/>
      <c r="F202" s="586">
        <v>134952</v>
      </c>
      <c r="G202" s="511"/>
      <c r="H202" s="511"/>
      <c r="I202" s="511"/>
      <c r="J202" s="511"/>
      <c r="K202" s="511"/>
      <c r="L202" s="511"/>
      <c r="M202" s="192">
        <f>5000+táj2!M202</f>
        <v>5000</v>
      </c>
      <c r="N202" s="511"/>
      <c r="O202" s="511"/>
      <c r="P202" s="511"/>
      <c r="Q202" s="223">
        <f t="shared" si="17"/>
        <v>5000</v>
      </c>
    </row>
    <row r="203" spans="1:17" ht="18" customHeight="1" x14ac:dyDescent="0.25">
      <c r="A203" s="576"/>
      <c r="B203" s="576"/>
      <c r="C203" s="284" t="s">
        <v>1203</v>
      </c>
      <c r="D203" s="580" t="s">
        <v>1176</v>
      </c>
      <c r="E203" s="574"/>
      <c r="F203" s="586">
        <v>132937</v>
      </c>
      <c r="G203" s="511"/>
      <c r="H203" s="511"/>
      <c r="I203" s="511"/>
      <c r="J203" s="511"/>
      <c r="K203" s="511"/>
      <c r="L203" s="192">
        <f>24000+táj2!L203</f>
        <v>24000</v>
      </c>
      <c r="M203" s="192"/>
      <c r="N203" s="511"/>
      <c r="O203" s="511"/>
      <c r="P203" s="511"/>
      <c r="Q203" s="223">
        <f t="shared" si="17"/>
        <v>24000</v>
      </c>
    </row>
    <row r="204" spans="1:17" ht="18" customHeight="1" x14ac:dyDescent="0.25">
      <c r="A204" s="576"/>
      <c r="B204" s="576"/>
      <c r="C204" s="284" t="s">
        <v>1229</v>
      </c>
      <c r="D204" s="580" t="s">
        <v>1230</v>
      </c>
      <c r="E204" s="574"/>
      <c r="F204" s="586">
        <v>132938</v>
      </c>
      <c r="G204" s="572"/>
      <c r="H204" s="511"/>
      <c r="I204" s="511"/>
      <c r="J204" s="511"/>
      <c r="K204" s="511"/>
      <c r="L204" s="192">
        <f>1000+táj2!L204</f>
        <v>1000</v>
      </c>
      <c r="M204" s="192"/>
      <c r="N204" s="511"/>
      <c r="O204" s="511"/>
      <c r="P204" s="511"/>
      <c r="Q204" s="223">
        <f t="shared" si="17"/>
        <v>1000</v>
      </c>
    </row>
    <row r="205" spans="1:17" ht="18.75" customHeight="1" x14ac:dyDescent="0.25">
      <c r="A205" s="199"/>
      <c r="B205" s="199"/>
      <c r="C205" s="199" t="s">
        <v>94</v>
      </c>
      <c r="D205" s="368" t="s">
        <v>866</v>
      </c>
      <c r="E205" s="200"/>
      <c r="F205" s="151"/>
      <c r="G205" s="192"/>
      <c r="H205" s="192"/>
      <c r="I205" s="192"/>
      <c r="J205" s="192"/>
      <c r="K205" s="192"/>
      <c r="L205" s="192"/>
      <c r="M205" s="192"/>
      <c r="N205" s="192"/>
      <c r="O205" s="192"/>
      <c r="P205" s="192"/>
      <c r="Q205" s="223"/>
    </row>
    <row r="206" spans="1:17" ht="18.75" customHeight="1" x14ac:dyDescent="0.25">
      <c r="A206" s="199"/>
      <c r="B206" s="199"/>
      <c r="C206" s="172" t="s">
        <v>605</v>
      </c>
      <c r="D206" s="369" t="s">
        <v>1181</v>
      </c>
      <c r="E206" s="200"/>
      <c r="F206" s="268">
        <v>134954</v>
      </c>
      <c r="G206" s="192"/>
      <c r="H206" s="192"/>
      <c r="I206" s="192"/>
      <c r="J206" s="192"/>
      <c r="K206" s="192"/>
      <c r="L206" s="192"/>
      <c r="M206" s="192">
        <f>1000+táj2!M206</f>
        <v>1000</v>
      </c>
      <c r="N206" s="192"/>
      <c r="O206" s="192"/>
      <c r="P206" s="192"/>
      <c r="Q206" s="223">
        <f t="shared" si="17"/>
        <v>1000</v>
      </c>
    </row>
    <row r="207" spans="1:17" ht="18.75" customHeight="1" x14ac:dyDescent="0.25">
      <c r="A207" s="757"/>
      <c r="B207" s="757"/>
      <c r="C207" s="758" t="s">
        <v>1320</v>
      </c>
      <c r="D207" s="824" t="s">
        <v>1321</v>
      </c>
      <c r="E207" s="640"/>
      <c r="F207" s="760">
        <v>134955</v>
      </c>
      <c r="G207" s="761"/>
      <c r="H207" s="761"/>
      <c r="I207" s="761"/>
      <c r="J207" s="761"/>
      <c r="K207" s="761"/>
      <c r="L207" s="761"/>
      <c r="M207" s="192"/>
      <c r="N207" s="192">
        <f>0+táj2!N207</f>
        <v>2250</v>
      </c>
      <c r="O207" s="761"/>
      <c r="P207" s="761"/>
      <c r="Q207" s="223">
        <f t="shared" si="17"/>
        <v>2250</v>
      </c>
    </row>
    <row r="208" spans="1:17" ht="15" customHeight="1" x14ac:dyDescent="0.25">
      <c r="A208" s="199"/>
      <c r="B208" s="199"/>
      <c r="C208" s="217" t="s">
        <v>81</v>
      </c>
      <c r="D208" s="186" t="s">
        <v>1026</v>
      </c>
      <c r="E208" s="201"/>
      <c r="F208" s="202"/>
      <c r="G208" s="192"/>
      <c r="H208" s="192"/>
      <c r="I208" s="192"/>
      <c r="J208" s="192"/>
      <c r="K208" s="192"/>
      <c r="L208" s="192"/>
      <c r="M208" s="192"/>
      <c r="N208" s="192"/>
      <c r="O208" s="192"/>
      <c r="P208" s="192"/>
      <c r="Q208" s="223"/>
    </row>
    <row r="209" spans="1:17" ht="36" customHeight="1" x14ac:dyDescent="0.25">
      <c r="A209" s="199"/>
      <c r="B209" s="199"/>
      <c r="C209" s="188" t="s">
        <v>481</v>
      </c>
      <c r="D209" s="362" t="s">
        <v>892</v>
      </c>
      <c r="E209" s="200"/>
      <c r="F209" s="151">
        <v>132903</v>
      </c>
      <c r="G209" s="192"/>
      <c r="H209" s="192"/>
      <c r="I209" s="192"/>
      <c r="J209" s="192"/>
      <c r="K209" s="192"/>
      <c r="L209" s="192">
        <f>3100+táj2!L209</f>
        <v>3100</v>
      </c>
      <c r="M209" s="192"/>
      <c r="N209" s="192"/>
      <c r="O209" s="192"/>
      <c r="P209" s="192"/>
      <c r="Q209" s="223">
        <f t="shared" ref="Q209:Q218" si="18">SUM(G209:P209)</f>
        <v>3100</v>
      </c>
    </row>
    <row r="210" spans="1:17" ht="24" customHeight="1" x14ac:dyDescent="0.25">
      <c r="A210" s="199"/>
      <c r="B210" s="199"/>
      <c r="C210" s="188" t="s">
        <v>482</v>
      </c>
      <c r="D210" s="366" t="s">
        <v>1101</v>
      </c>
      <c r="E210" s="200"/>
      <c r="F210" s="151">
        <v>134930</v>
      </c>
      <c r="G210" s="192"/>
      <c r="H210" s="192"/>
      <c r="I210" s="192"/>
      <c r="J210" s="192"/>
      <c r="K210" s="192"/>
      <c r="L210" s="192"/>
      <c r="M210" s="192"/>
      <c r="N210" s="192">
        <f>5200+táj2!N210</f>
        <v>5200</v>
      </c>
      <c r="O210" s="192"/>
      <c r="P210" s="192"/>
      <c r="Q210" s="223">
        <f t="shared" si="18"/>
        <v>5200</v>
      </c>
    </row>
    <row r="211" spans="1:17" ht="19.5" customHeight="1" x14ac:dyDescent="0.25">
      <c r="A211" s="199"/>
      <c r="B211" s="199"/>
      <c r="C211" s="188" t="s">
        <v>483</v>
      </c>
      <c r="D211" s="366" t="s">
        <v>868</v>
      </c>
      <c r="E211" s="200"/>
      <c r="F211" s="151">
        <v>132933</v>
      </c>
      <c r="G211" s="192"/>
      <c r="H211" s="192"/>
      <c r="I211" s="192">
        <f>575+táj2!I211</f>
        <v>1976</v>
      </c>
      <c r="J211" s="192"/>
      <c r="K211" s="192"/>
      <c r="L211" s="192"/>
      <c r="M211" s="192"/>
      <c r="N211" s="192"/>
      <c r="O211" s="192"/>
      <c r="P211" s="192"/>
      <c r="Q211" s="223">
        <f t="shared" si="18"/>
        <v>1976</v>
      </c>
    </row>
    <row r="212" spans="1:17" ht="19.5" customHeight="1" x14ac:dyDescent="0.25">
      <c r="A212" s="199"/>
      <c r="B212" s="199"/>
      <c r="C212" s="188" t="s">
        <v>1027</v>
      </c>
      <c r="D212" s="366" t="s">
        <v>1028</v>
      </c>
      <c r="E212" s="200"/>
      <c r="F212" s="151">
        <v>134965</v>
      </c>
      <c r="G212" s="192"/>
      <c r="H212" s="192"/>
      <c r="I212" s="192"/>
      <c r="J212" s="192"/>
      <c r="K212" s="192"/>
      <c r="L212" s="192"/>
      <c r="M212" s="192">
        <f>1000+táj2!M212</f>
        <v>1000</v>
      </c>
      <c r="N212" s="192"/>
      <c r="O212" s="192"/>
      <c r="P212" s="192"/>
      <c r="Q212" s="223">
        <f t="shared" si="18"/>
        <v>1000</v>
      </c>
    </row>
    <row r="213" spans="1:17" ht="19.5" customHeight="1" x14ac:dyDescent="0.25">
      <c r="A213" s="199"/>
      <c r="B213" s="199"/>
      <c r="C213" s="188" t="s">
        <v>1029</v>
      </c>
      <c r="D213" s="246" t="s">
        <v>1030</v>
      </c>
      <c r="E213" s="201"/>
      <c r="F213" s="151">
        <v>132919</v>
      </c>
      <c r="G213" s="192"/>
      <c r="H213" s="192"/>
      <c r="I213" s="192"/>
      <c r="J213" s="192"/>
      <c r="K213" s="192"/>
      <c r="L213" s="192">
        <f>26963+táj2!L213</f>
        <v>26963</v>
      </c>
      <c r="M213" s="192"/>
      <c r="N213" s="192"/>
      <c r="O213" s="192"/>
      <c r="P213" s="192"/>
      <c r="Q213" s="223">
        <f t="shared" si="18"/>
        <v>26963</v>
      </c>
    </row>
    <row r="214" spans="1:17" ht="27.75" customHeight="1" x14ac:dyDescent="0.25">
      <c r="A214" s="199"/>
      <c r="B214" s="199"/>
      <c r="C214" s="188" t="s">
        <v>1031</v>
      </c>
      <c r="D214" s="277" t="s">
        <v>1032</v>
      </c>
      <c r="E214" s="200"/>
      <c r="F214" s="151">
        <v>132925</v>
      </c>
      <c r="G214" s="192"/>
      <c r="H214" s="192"/>
      <c r="I214" s="192"/>
      <c r="J214" s="192"/>
      <c r="K214" s="192"/>
      <c r="L214" s="192">
        <f>21367+táj2!L214</f>
        <v>21367</v>
      </c>
      <c r="M214" s="192"/>
      <c r="N214" s="192"/>
      <c r="O214" s="192"/>
      <c r="P214" s="192"/>
      <c r="Q214" s="223">
        <f t="shared" si="18"/>
        <v>21367</v>
      </c>
    </row>
    <row r="215" spans="1:17" ht="19.5" customHeight="1" x14ac:dyDescent="0.25">
      <c r="A215" s="199"/>
      <c r="B215" s="199"/>
      <c r="C215" s="188" t="s">
        <v>1033</v>
      </c>
      <c r="D215" s="277" t="s">
        <v>1034</v>
      </c>
      <c r="E215" s="200"/>
      <c r="F215" s="151">
        <v>134901</v>
      </c>
      <c r="G215" s="192"/>
      <c r="H215" s="192"/>
      <c r="I215" s="192"/>
      <c r="J215" s="192"/>
      <c r="K215" s="192"/>
      <c r="L215" s="192"/>
      <c r="M215" s="192">
        <f>821+táj2!M215</f>
        <v>821</v>
      </c>
      <c r="N215" s="192"/>
      <c r="O215" s="192"/>
      <c r="P215" s="192"/>
      <c r="Q215" s="223">
        <f t="shared" si="18"/>
        <v>821</v>
      </c>
    </row>
    <row r="216" spans="1:17" ht="19.5" customHeight="1" x14ac:dyDescent="0.25">
      <c r="A216" s="199"/>
      <c r="B216" s="199"/>
      <c r="C216" s="188" t="s">
        <v>1035</v>
      </c>
      <c r="D216" s="277" t="s">
        <v>1036</v>
      </c>
      <c r="E216" s="200"/>
      <c r="F216" s="151">
        <v>134902</v>
      </c>
      <c r="G216" s="192"/>
      <c r="H216" s="192"/>
      <c r="I216" s="192">
        <f>0+táj2!I216</f>
        <v>1247</v>
      </c>
      <c r="J216" s="192"/>
      <c r="K216" s="192"/>
      <c r="L216" s="192"/>
      <c r="M216" s="192">
        <f>1247+táj2!M216</f>
        <v>0</v>
      </c>
      <c r="N216" s="192"/>
      <c r="O216" s="192"/>
      <c r="P216" s="192"/>
      <c r="Q216" s="223">
        <f t="shared" si="18"/>
        <v>1247</v>
      </c>
    </row>
    <row r="217" spans="1:17" ht="19.5" customHeight="1" x14ac:dyDescent="0.25">
      <c r="A217" s="199"/>
      <c r="B217" s="199"/>
      <c r="C217" s="188" t="s">
        <v>1037</v>
      </c>
      <c r="D217" s="794" t="s">
        <v>1038</v>
      </c>
      <c r="E217" s="640"/>
      <c r="F217" s="151">
        <v>132999</v>
      </c>
      <c r="G217" s="192"/>
      <c r="H217" s="192"/>
      <c r="I217" s="192"/>
      <c r="J217" s="192"/>
      <c r="K217" s="192"/>
      <c r="L217" s="192">
        <f>503+táj2!L217</f>
        <v>890</v>
      </c>
      <c r="M217" s="192"/>
      <c r="N217" s="192"/>
      <c r="O217" s="192"/>
      <c r="P217" s="192"/>
      <c r="Q217" s="223">
        <f t="shared" si="18"/>
        <v>890</v>
      </c>
    </row>
    <row r="218" spans="1:17" ht="25.5" customHeight="1" x14ac:dyDescent="0.25">
      <c r="A218" s="199"/>
      <c r="B218" s="199"/>
      <c r="C218" s="188" t="s">
        <v>1039</v>
      </c>
      <c r="D218" s="277" t="s">
        <v>484</v>
      </c>
      <c r="E218" s="370"/>
      <c r="F218" s="151">
        <v>134927</v>
      </c>
      <c r="G218" s="192"/>
      <c r="H218" s="192"/>
      <c r="I218" s="192"/>
      <c r="J218" s="192"/>
      <c r="K218" s="192"/>
      <c r="L218" s="192"/>
      <c r="M218" s="192">
        <f>1024+táj2!M218</f>
        <v>1024</v>
      </c>
      <c r="N218" s="192"/>
      <c r="O218" s="192"/>
      <c r="P218" s="192"/>
      <c r="Q218" s="223">
        <f t="shared" si="18"/>
        <v>1024</v>
      </c>
    </row>
    <row r="219" spans="1:17" ht="18.75" customHeight="1" x14ac:dyDescent="0.25">
      <c r="A219" s="194"/>
      <c r="B219" s="194"/>
      <c r="C219" s="195"/>
      <c r="D219" s="196" t="s">
        <v>224</v>
      </c>
      <c r="E219" s="197"/>
      <c r="F219" s="198"/>
      <c r="G219" s="216">
        <f t="shared" ref="G219:Q219" si="19">SUM(G174:G218)</f>
        <v>4405</v>
      </c>
      <c r="H219" s="216">
        <f t="shared" si="19"/>
        <v>1494</v>
      </c>
      <c r="I219" s="216">
        <f t="shared" si="19"/>
        <v>53023</v>
      </c>
      <c r="J219" s="216">
        <f t="shared" si="19"/>
        <v>6100</v>
      </c>
      <c r="K219" s="216">
        <f t="shared" si="19"/>
        <v>1340909</v>
      </c>
      <c r="L219" s="216">
        <f t="shared" si="19"/>
        <v>83038</v>
      </c>
      <c r="M219" s="216">
        <f t="shared" si="19"/>
        <v>56665</v>
      </c>
      <c r="N219" s="216">
        <f t="shared" si="19"/>
        <v>21650</v>
      </c>
      <c r="O219" s="216">
        <f t="shared" si="19"/>
        <v>0</v>
      </c>
      <c r="P219" s="216">
        <f t="shared" si="19"/>
        <v>0</v>
      </c>
      <c r="Q219" s="216">
        <f t="shared" si="19"/>
        <v>1567284</v>
      </c>
    </row>
    <row r="220" spans="1:17" ht="12.9" customHeight="1" x14ac:dyDescent="0.25">
      <c r="A220" s="199">
        <v>1</v>
      </c>
      <c r="B220" s="199">
        <v>14</v>
      </c>
      <c r="C220" s="217"/>
      <c r="D220" s="221" t="s">
        <v>184</v>
      </c>
      <c r="E220" s="201"/>
      <c r="F220" s="202"/>
      <c r="G220" s="202"/>
      <c r="H220" s="177"/>
      <c r="I220" s="177"/>
      <c r="J220" s="177"/>
      <c r="K220" s="177"/>
      <c r="L220" s="177"/>
      <c r="M220" s="202"/>
      <c r="N220" s="202"/>
      <c r="O220" s="202"/>
      <c r="P220" s="202"/>
      <c r="Q220" s="202"/>
    </row>
    <row r="221" spans="1:17" ht="12.9" customHeight="1" x14ac:dyDescent="0.25">
      <c r="A221" s="199"/>
      <c r="B221" s="199"/>
      <c r="C221" s="217"/>
      <c r="D221" s="189" t="s">
        <v>225</v>
      </c>
      <c r="E221" s="201"/>
      <c r="F221" s="202"/>
      <c r="G221" s="202"/>
      <c r="H221" s="177"/>
      <c r="I221" s="177"/>
      <c r="J221" s="177"/>
      <c r="K221" s="177"/>
      <c r="L221" s="177"/>
      <c r="M221" s="202"/>
      <c r="N221" s="202"/>
      <c r="O221" s="202"/>
      <c r="P221" s="202"/>
      <c r="Q221" s="202"/>
    </row>
    <row r="222" spans="1:17" ht="12.9" customHeight="1" x14ac:dyDescent="0.25">
      <c r="A222" s="199"/>
      <c r="B222" s="199"/>
      <c r="C222" s="217"/>
      <c r="D222" s="186" t="s">
        <v>485</v>
      </c>
      <c r="E222" s="151">
        <v>1</v>
      </c>
      <c r="F222" s="151">
        <v>171918</v>
      </c>
      <c r="G222" s="151"/>
      <c r="H222" s="151"/>
      <c r="I222" s="177">
        <f>1000+táj2!I222</f>
        <v>1000</v>
      </c>
      <c r="J222" s="151"/>
      <c r="K222" s="151"/>
      <c r="L222" s="151"/>
      <c r="M222" s="151"/>
      <c r="N222" s="151"/>
      <c r="O222" s="151"/>
      <c r="P222" s="151"/>
      <c r="Q222" s="151">
        <f>SUM(G222:P222)</f>
        <v>1000</v>
      </c>
    </row>
    <row r="223" spans="1:17" ht="30" customHeight="1" x14ac:dyDescent="0.25">
      <c r="A223" s="199"/>
      <c r="B223" s="199"/>
      <c r="C223" s="217"/>
      <c r="D223" s="193" t="s">
        <v>486</v>
      </c>
      <c r="E223" s="151">
        <v>1</v>
      </c>
      <c r="F223" s="151">
        <v>171922</v>
      </c>
      <c r="G223" s="151"/>
      <c r="H223" s="151"/>
      <c r="I223" s="177">
        <f>2695+táj2!I223</f>
        <v>1695</v>
      </c>
      <c r="J223" s="151"/>
      <c r="K223" s="151"/>
      <c r="L223" s="151"/>
      <c r="M223" s="151"/>
      <c r="N223" s="151"/>
      <c r="O223" s="151"/>
      <c r="P223" s="151"/>
      <c r="Q223" s="151">
        <f>SUM(G223:P223)</f>
        <v>1695</v>
      </c>
    </row>
    <row r="224" spans="1:17" ht="12.9" customHeight="1" x14ac:dyDescent="0.25">
      <c r="A224" s="199"/>
      <c r="B224" s="199"/>
      <c r="C224" s="217"/>
      <c r="D224" s="186" t="s">
        <v>487</v>
      </c>
      <c r="E224" s="151">
        <v>1</v>
      </c>
      <c r="F224" s="151">
        <v>171926</v>
      </c>
      <c r="G224" s="151"/>
      <c r="H224" s="151"/>
      <c r="I224" s="177">
        <f>1980+táj2!I224</f>
        <v>1980</v>
      </c>
      <c r="J224" s="151"/>
      <c r="K224" s="151"/>
      <c r="L224" s="151"/>
      <c r="M224" s="151"/>
      <c r="N224" s="151"/>
      <c r="O224" s="151"/>
      <c r="P224" s="151"/>
      <c r="Q224" s="151">
        <f>SUM(G224:P224)</f>
        <v>1980</v>
      </c>
    </row>
    <row r="225" spans="1:17" ht="12.9" customHeight="1" x14ac:dyDescent="0.25">
      <c r="A225" s="199"/>
      <c r="B225" s="199"/>
      <c r="C225" s="217"/>
      <c r="D225" s="186" t="s">
        <v>488</v>
      </c>
      <c r="E225" s="151">
        <v>1</v>
      </c>
      <c r="F225" s="151">
        <v>171967</v>
      </c>
      <c r="G225" s="151"/>
      <c r="H225" s="151"/>
      <c r="I225" s="177">
        <f>4000+táj2!I225</f>
        <v>4167</v>
      </c>
      <c r="J225" s="151"/>
      <c r="K225" s="151"/>
      <c r="L225" s="151"/>
      <c r="M225" s="151"/>
      <c r="N225" s="151"/>
      <c r="O225" s="151"/>
      <c r="P225" s="151"/>
      <c r="Q225" s="151">
        <f>SUM(G225:P225)</f>
        <v>4167</v>
      </c>
    </row>
    <row r="226" spans="1:17" ht="12.9" customHeight="1" x14ac:dyDescent="0.25">
      <c r="A226" s="194"/>
      <c r="B226" s="194"/>
      <c r="C226" s="195"/>
      <c r="D226" s="196" t="s">
        <v>489</v>
      </c>
      <c r="E226" s="226"/>
      <c r="F226" s="227"/>
      <c r="G226" s="228">
        <f t="shared" ref="G226:Q226" si="20">SUM(G222:G225)</f>
        <v>0</v>
      </c>
      <c r="H226" s="228">
        <f t="shared" si="20"/>
        <v>0</v>
      </c>
      <c r="I226" s="228">
        <f t="shared" si="20"/>
        <v>8842</v>
      </c>
      <c r="J226" s="228">
        <f t="shared" si="20"/>
        <v>0</v>
      </c>
      <c r="K226" s="228">
        <f t="shared" si="20"/>
        <v>0</v>
      </c>
      <c r="L226" s="228">
        <f t="shared" si="20"/>
        <v>0</v>
      </c>
      <c r="M226" s="228">
        <f t="shared" si="20"/>
        <v>0</v>
      </c>
      <c r="N226" s="228">
        <f t="shared" si="20"/>
        <v>0</v>
      </c>
      <c r="O226" s="228">
        <f t="shared" si="20"/>
        <v>0</v>
      </c>
      <c r="P226" s="228">
        <f t="shared" si="20"/>
        <v>0</v>
      </c>
      <c r="Q226" s="228">
        <f t="shared" si="20"/>
        <v>8842</v>
      </c>
    </row>
    <row r="227" spans="1:17" ht="12.9" customHeight="1" x14ac:dyDescent="0.25">
      <c r="A227" s="199"/>
      <c r="B227" s="199"/>
      <c r="C227" s="217"/>
      <c r="D227" s="218" t="s">
        <v>490</v>
      </c>
      <c r="E227" s="200"/>
      <c r="F227" s="151"/>
      <c r="G227" s="177"/>
      <c r="H227" s="177"/>
      <c r="I227" s="177"/>
      <c r="J227" s="177"/>
      <c r="K227" s="177"/>
      <c r="L227" s="177"/>
      <c r="M227" s="177"/>
      <c r="N227" s="177"/>
      <c r="O227" s="177"/>
      <c r="P227" s="177"/>
      <c r="Q227" s="177"/>
    </row>
    <row r="228" spans="1:17" ht="12.9" customHeight="1" x14ac:dyDescent="0.25">
      <c r="A228" s="199"/>
      <c r="B228" s="199"/>
      <c r="C228" s="371"/>
      <c r="D228" s="186" t="s">
        <v>1026</v>
      </c>
      <c r="E228" s="248"/>
      <c r="F228" s="151"/>
      <c r="G228" s="177"/>
      <c r="H228" s="177"/>
      <c r="I228" s="177"/>
      <c r="J228" s="177"/>
      <c r="K228" s="177"/>
      <c r="L228" s="177"/>
      <c r="M228" s="177"/>
      <c r="N228" s="177"/>
      <c r="O228" s="177"/>
      <c r="P228" s="177"/>
      <c r="Q228" s="177"/>
    </row>
    <row r="229" spans="1:17" ht="12.9" customHeight="1" x14ac:dyDescent="0.25">
      <c r="A229" s="199"/>
      <c r="B229" s="199"/>
      <c r="C229" s="284" t="s">
        <v>355</v>
      </c>
      <c r="D229" s="358" t="s">
        <v>491</v>
      </c>
      <c r="E229" s="248"/>
      <c r="F229" s="151">
        <v>162650</v>
      </c>
      <c r="G229" s="177"/>
      <c r="H229" s="177"/>
      <c r="I229" s="177"/>
      <c r="J229" s="177"/>
      <c r="K229" s="177"/>
      <c r="L229" s="177">
        <f>19903+táj2!L229</f>
        <v>19903</v>
      </c>
      <c r="M229" s="177"/>
      <c r="N229" s="177"/>
      <c r="O229" s="177"/>
      <c r="P229" s="177"/>
      <c r="Q229" s="177">
        <f>SUM(G229:P229)</f>
        <v>19903</v>
      </c>
    </row>
    <row r="230" spans="1:17" ht="12.9" customHeight="1" x14ac:dyDescent="0.25">
      <c r="A230" s="199"/>
      <c r="B230" s="199"/>
      <c r="C230" s="284" t="s">
        <v>357</v>
      </c>
      <c r="D230" s="372" t="s">
        <v>492</v>
      </c>
      <c r="E230" s="248"/>
      <c r="F230" s="151">
        <v>164903</v>
      </c>
      <c r="G230" s="177"/>
      <c r="H230" s="177"/>
      <c r="I230" s="177"/>
      <c r="J230" s="177"/>
      <c r="K230" s="177"/>
      <c r="L230" s="177"/>
      <c r="M230" s="177"/>
      <c r="N230" s="177">
        <f>6151+táj2!N230</f>
        <v>6151</v>
      </c>
      <c r="O230" s="177"/>
      <c r="P230" s="177"/>
      <c r="Q230" s="177">
        <f>SUM(G230:P230)</f>
        <v>6151</v>
      </c>
    </row>
    <row r="231" spans="1:17" ht="12.9" customHeight="1" x14ac:dyDescent="0.25">
      <c r="A231" s="194"/>
      <c r="B231" s="194"/>
      <c r="C231" s="195"/>
      <c r="D231" s="196" t="s">
        <v>227</v>
      </c>
      <c r="E231" s="226"/>
      <c r="F231" s="227"/>
      <c r="G231" s="228">
        <f t="shared" ref="G231:Q231" si="21">SUM(G226:G230)</f>
        <v>0</v>
      </c>
      <c r="H231" s="228">
        <f t="shared" si="21"/>
        <v>0</v>
      </c>
      <c r="I231" s="228">
        <f t="shared" si="21"/>
        <v>8842</v>
      </c>
      <c r="J231" s="228">
        <f t="shared" si="21"/>
        <v>0</v>
      </c>
      <c r="K231" s="228">
        <f t="shared" si="21"/>
        <v>0</v>
      </c>
      <c r="L231" s="228">
        <f t="shared" si="21"/>
        <v>19903</v>
      </c>
      <c r="M231" s="228">
        <f t="shared" si="21"/>
        <v>0</v>
      </c>
      <c r="N231" s="228">
        <f t="shared" si="21"/>
        <v>6151</v>
      </c>
      <c r="O231" s="228">
        <f t="shared" si="21"/>
        <v>0</v>
      </c>
      <c r="P231" s="228">
        <f t="shared" si="21"/>
        <v>0</v>
      </c>
      <c r="Q231" s="228">
        <f t="shared" si="21"/>
        <v>34896</v>
      </c>
    </row>
    <row r="232" spans="1:17" ht="14.1" customHeight="1" x14ac:dyDescent="0.25">
      <c r="A232" s="172">
        <v>1</v>
      </c>
      <c r="B232" s="172">
        <v>15</v>
      </c>
      <c r="C232" s="188"/>
      <c r="D232" s="221" t="s">
        <v>493</v>
      </c>
      <c r="E232" s="200"/>
      <c r="F232" s="151"/>
      <c r="G232" s="151"/>
      <c r="H232" s="177"/>
      <c r="I232" s="177"/>
      <c r="J232" s="177"/>
      <c r="K232" s="177"/>
      <c r="L232" s="177"/>
      <c r="M232" s="151"/>
      <c r="N232" s="151"/>
      <c r="O232" s="151"/>
      <c r="P232" s="151"/>
      <c r="Q232" s="151"/>
    </row>
    <row r="233" spans="1:17" ht="14.1" customHeight="1" x14ac:dyDescent="0.25">
      <c r="A233" s="172"/>
      <c r="B233" s="172"/>
      <c r="C233" s="188"/>
      <c r="D233" s="373" t="s">
        <v>494</v>
      </c>
      <c r="E233" s="200"/>
      <c r="F233" s="151"/>
      <c r="G233" s="151"/>
      <c r="H233" s="177"/>
      <c r="I233" s="177"/>
      <c r="J233" s="177"/>
      <c r="K233" s="177"/>
      <c r="L233" s="177"/>
      <c r="M233" s="151"/>
      <c r="N233" s="151"/>
      <c r="O233" s="151"/>
      <c r="P233" s="151"/>
      <c r="Q233" s="151"/>
    </row>
    <row r="234" spans="1:17" ht="15" customHeight="1" x14ac:dyDescent="0.25">
      <c r="A234" s="172"/>
      <c r="B234" s="172"/>
      <c r="C234" s="188"/>
      <c r="D234" s="186" t="s">
        <v>495</v>
      </c>
      <c r="E234" s="151">
        <v>1</v>
      </c>
      <c r="F234" s="151">
        <v>151502</v>
      </c>
      <c r="G234" s="151"/>
      <c r="H234" s="151"/>
      <c r="I234" s="151">
        <f>32652+táj2!I234</f>
        <v>32652</v>
      </c>
      <c r="J234" s="151"/>
      <c r="K234" s="151"/>
      <c r="L234" s="151"/>
      <c r="M234" s="151"/>
      <c r="N234" s="151"/>
      <c r="O234" s="151"/>
      <c r="P234" s="151"/>
      <c r="Q234" s="151">
        <f t="shared" ref="Q234:Q257" si="22">SUM(G234:P234)</f>
        <v>32652</v>
      </c>
    </row>
    <row r="235" spans="1:17" ht="15.75" customHeight="1" x14ac:dyDescent="0.25">
      <c r="A235" s="172"/>
      <c r="B235" s="172"/>
      <c r="C235" s="188"/>
      <c r="D235" s="193" t="s">
        <v>862</v>
      </c>
      <c r="E235" s="151">
        <v>1</v>
      </c>
      <c r="F235" s="151">
        <v>151530</v>
      </c>
      <c r="G235" s="151"/>
      <c r="H235" s="151"/>
      <c r="I235" s="151">
        <f>5000+táj2!I235</f>
        <v>5000</v>
      </c>
      <c r="J235" s="151"/>
      <c r="K235" s="151"/>
      <c r="L235" s="151"/>
      <c r="M235" s="151"/>
      <c r="N235" s="151"/>
      <c r="O235" s="151"/>
      <c r="P235" s="151"/>
      <c r="Q235" s="151">
        <f t="shared" si="22"/>
        <v>5000</v>
      </c>
    </row>
    <row r="236" spans="1:17" ht="14.1" customHeight="1" x14ac:dyDescent="0.25">
      <c r="A236" s="172"/>
      <c r="B236" s="172"/>
      <c r="C236" s="188"/>
      <c r="D236" s="186" t="s">
        <v>496</v>
      </c>
      <c r="E236" s="151">
        <v>1</v>
      </c>
      <c r="F236" s="151">
        <v>151504</v>
      </c>
      <c r="G236" s="151"/>
      <c r="H236" s="151"/>
      <c r="I236" s="151">
        <f>240011+táj2!I236</f>
        <v>240011</v>
      </c>
      <c r="J236" s="151"/>
      <c r="K236" s="151"/>
      <c r="L236" s="151"/>
      <c r="M236" s="151"/>
      <c r="N236" s="151"/>
      <c r="O236" s="151"/>
      <c r="P236" s="151"/>
      <c r="Q236" s="151">
        <f t="shared" si="22"/>
        <v>240011</v>
      </c>
    </row>
    <row r="237" spans="1:17" ht="14.1" customHeight="1" x14ac:dyDescent="0.25">
      <c r="A237" s="172"/>
      <c r="B237" s="172"/>
      <c r="C237" s="188"/>
      <c r="D237" s="185" t="s">
        <v>497</v>
      </c>
      <c r="E237" s="151">
        <v>1</v>
      </c>
      <c r="F237" s="151">
        <v>151501</v>
      </c>
      <c r="G237" s="151"/>
      <c r="H237" s="151"/>
      <c r="I237" s="151">
        <f>16611+táj2!I237</f>
        <v>16611</v>
      </c>
      <c r="J237" s="151"/>
      <c r="K237" s="151"/>
      <c r="L237" s="151"/>
      <c r="M237" s="151"/>
      <c r="N237" s="151"/>
      <c r="O237" s="151"/>
      <c r="P237" s="151"/>
      <c r="Q237" s="151">
        <f t="shared" si="22"/>
        <v>16611</v>
      </c>
    </row>
    <row r="238" spans="1:17" ht="14.1" customHeight="1" x14ac:dyDescent="0.25">
      <c r="A238" s="172"/>
      <c r="B238" s="172"/>
      <c r="C238" s="188"/>
      <c r="D238" s="185" t="s">
        <v>498</v>
      </c>
      <c r="E238" s="151">
        <v>1</v>
      </c>
      <c r="F238" s="151">
        <v>151905</v>
      </c>
      <c r="G238" s="151"/>
      <c r="H238" s="151"/>
      <c r="I238" s="151">
        <f>800+táj2!I238</f>
        <v>800</v>
      </c>
      <c r="J238" s="151"/>
      <c r="K238" s="151"/>
      <c r="L238" s="151"/>
      <c r="M238" s="151"/>
      <c r="N238" s="151"/>
      <c r="O238" s="151"/>
      <c r="P238" s="151"/>
      <c r="Q238" s="151">
        <f t="shared" si="22"/>
        <v>800</v>
      </c>
    </row>
    <row r="239" spans="1:17" ht="14.1" customHeight="1" x14ac:dyDescent="0.25">
      <c r="A239" s="172"/>
      <c r="B239" s="172"/>
      <c r="C239" s="188"/>
      <c r="D239" s="185" t="s">
        <v>499</v>
      </c>
      <c r="E239" s="151">
        <v>1</v>
      </c>
      <c r="F239" s="151">
        <v>151920</v>
      </c>
      <c r="G239" s="151"/>
      <c r="H239" s="151"/>
      <c r="I239" s="151">
        <f>4993+táj2!I239</f>
        <v>4993</v>
      </c>
      <c r="J239" s="151"/>
      <c r="K239" s="151"/>
      <c r="L239" s="151"/>
      <c r="M239" s="151"/>
      <c r="N239" s="151"/>
      <c r="O239" s="151"/>
      <c r="P239" s="151"/>
      <c r="Q239" s="151">
        <f t="shared" si="22"/>
        <v>4993</v>
      </c>
    </row>
    <row r="240" spans="1:17" ht="14.1" customHeight="1" x14ac:dyDescent="0.25">
      <c r="A240" s="172"/>
      <c r="B240" s="172"/>
      <c r="C240" s="188"/>
      <c r="D240" s="185" t="s">
        <v>500</v>
      </c>
      <c r="E240" s="151">
        <v>1</v>
      </c>
      <c r="F240" s="151">
        <v>151917</v>
      </c>
      <c r="G240" s="151"/>
      <c r="H240" s="151"/>
      <c r="I240" s="151">
        <f>1446+táj2!I240</f>
        <v>1446</v>
      </c>
      <c r="J240" s="151"/>
      <c r="K240" s="151"/>
      <c r="L240" s="151"/>
      <c r="M240" s="151"/>
      <c r="N240" s="151"/>
      <c r="O240" s="151"/>
      <c r="P240" s="151"/>
      <c r="Q240" s="151">
        <f t="shared" si="22"/>
        <v>1446</v>
      </c>
    </row>
    <row r="241" spans="1:17" ht="15" customHeight="1" x14ac:dyDescent="0.25">
      <c r="A241" s="172"/>
      <c r="B241" s="172"/>
      <c r="C241" s="188"/>
      <c r="D241" s="185" t="s">
        <v>501</v>
      </c>
      <c r="E241" s="151">
        <v>2</v>
      </c>
      <c r="F241" s="151">
        <v>151503</v>
      </c>
      <c r="G241" s="151"/>
      <c r="H241" s="151"/>
      <c r="I241" s="151">
        <f>2165+táj2!I241</f>
        <v>2165</v>
      </c>
      <c r="J241" s="151"/>
      <c r="K241" s="151"/>
      <c r="L241" s="151"/>
      <c r="M241" s="151"/>
      <c r="N241" s="151"/>
      <c r="O241" s="151"/>
      <c r="P241" s="151"/>
      <c r="Q241" s="151">
        <f t="shared" si="22"/>
        <v>2165</v>
      </c>
    </row>
    <row r="242" spans="1:17" ht="15" customHeight="1" x14ac:dyDescent="0.25">
      <c r="A242" s="172"/>
      <c r="B242" s="172"/>
      <c r="C242" s="188"/>
      <c r="D242" s="374" t="s">
        <v>502</v>
      </c>
      <c r="E242" s="151">
        <v>2</v>
      </c>
      <c r="F242" s="151">
        <v>151922</v>
      </c>
      <c r="G242" s="151"/>
      <c r="H242" s="151"/>
      <c r="I242" s="151">
        <f>1800+táj2!I242</f>
        <v>1800</v>
      </c>
      <c r="J242" s="151"/>
      <c r="K242" s="151"/>
      <c r="L242" s="151"/>
      <c r="M242" s="151"/>
      <c r="N242" s="151"/>
      <c r="O242" s="151"/>
      <c r="P242" s="151"/>
      <c r="Q242" s="151">
        <f t="shared" si="22"/>
        <v>1800</v>
      </c>
    </row>
    <row r="243" spans="1:17" ht="15" customHeight="1" x14ac:dyDescent="0.25">
      <c r="A243" s="172"/>
      <c r="B243" s="172"/>
      <c r="C243" s="188"/>
      <c r="D243" s="185" t="s">
        <v>503</v>
      </c>
      <c r="E243" s="151">
        <v>2</v>
      </c>
      <c r="F243" s="151">
        <v>151507</v>
      </c>
      <c r="G243" s="151"/>
      <c r="H243" s="151"/>
      <c r="I243" s="151">
        <f>2000+táj2!I243</f>
        <v>2000</v>
      </c>
      <c r="J243" s="151"/>
      <c r="K243" s="151"/>
      <c r="L243" s="151"/>
      <c r="M243" s="151"/>
      <c r="N243" s="151"/>
      <c r="O243" s="151"/>
      <c r="P243" s="151"/>
      <c r="Q243" s="151">
        <f t="shared" si="22"/>
        <v>2000</v>
      </c>
    </row>
    <row r="244" spans="1:17" ht="15" customHeight="1" x14ac:dyDescent="0.25">
      <c r="A244" s="172"/>
      <c r="B244" s="172"/>
      <c r="C244" s="188"/>
      <c r="D244" s="185" t="s">
        <v>504</v>
      </c>
      <c r="E244" s="151">
        <v>2</v>
      </c>
      <c r="F244" s="151">
        <v>151509</v>
      </c>
      <c r="G244" s="151"/>
      <c r="H244" s="151"/>
      <c r="I244" s="151">
        <f>500+táj2!I244</f>
        <v>500</v>
      </c>
      <c r="J244" s="151"/>
      <c r="K244" s="151"/>
      <c r="L244" s="151"/>
      <c r="M244" s="151"/>
      <c r="N244" s="151"/>
      <c r="O244" s="151"/>
      <c r="P244" s="151"/>
      <c r="Q244" s="151">
        <f t="shared" si="22"/>
        <v>500</v>
      </c>
    </row>
    <row r="245" spans="1:17" ht="15" customHeight="1" x14ac:dyDescent="0.25">
      <c r="A245" s="172"/>
      <c r="B245" s="172"/>
      <c r="C245" s="188"/>
      <c r="D245" s="185" t="s">
        <v>505</v>
      </c>
      <c r="E245" s="151">
        <v>1</v>
      </c>
      <c r="F245" s="151">
        <v>151510</v>
      </c>
      <c r="G245" s="151"/>
      <c r="H245" s="151"/>
      <c r="I245" s="151">
        <f>15309+táj2!I245</f>
        <v>15309</v>
      </c>
      <c r="J245" s="151"/>
      <c r="K245" s="151"/>
      <c r="L245" s="151"/>
      <c r="M245" s="151"/>
      <c r="N245" s="151"/>
      <c r="O245" s="151"/>
      <c r="P245" s="151"/>
      <c r="Q245" s="151">
        <f t="shared" si="22"/>
        <v>15309</v>
      </c>
    </row>
    <row r="246" spans="1:17" ht="15" customHeight="1" x14ac:dyDescent="0.25">
      <c r="A246" s="172"/>
      <c r="B246" s="172"/>
      <c r="C246" s="188"/>
      <c r="D246" s="375" t="s">
        <v>506</v>
      </c>
      <c r="E246" s="168">
        <v>1</v>
      </c>
      <c r="F246" s="151">
        <v>151520</v>
      </c>
      <c r="G246" s="151"/>
      <c r="H246" s="151"/>
      <c r="I246" s="151">
        <f>2500+táj2!I246</f>
        <v>2500</v>
      </c>
      <c r="J246" s="151"/>
      <c r="K246" s="151"/>
      <c r="L246" s="151"/>
      <c r="M246" s="151"/>
      <c r="N246" s="151"/>
      <c r="O246" s="151"/>
      <c r="P246" s="151"/>
      <c r="Q246" s="151">
        <f t="shared" si="22"/>
        <v>2500</v>
      </c>
    </row>
    <row r="247" spans="1:17" ht="15" customHeight="1" x14ac:dyDescent="0.25">
      <c r="A247" s="172"/>
      <c r="B247" s="172"/>
      <c r="C247" s="188"/>
      <c r="D247" s="376" t="s">
        <v>507</v>
      </c>
      <c r="E247" s="151">
        <v>1</v>
      </c>
      <c r="F247" s="151">
        <v>151521</v>
      </c>
      <c r="G247" s="151"/>
      <c r="H247" s="151"/>
      <c r="I247" s="151">
        <f>400+táj2!I247</f>
        <v>400</v>
      </c>
      <c r="J247" s="151"/>
      <c r="K247" s="151"/>
      <c r="L247" s="151"/>
      <c r="M247" s="151"/>
      <c r="N247" s="151"/>
      <c r="O247" s="151"/>
      <c r="P247" s="151"/>
      <c r="Q247" s="151">
        <f t="shared" si="22"/>
        <v>400</v>
      </c>
    </row>
    <row r="248" spans="1:17" ht="15" customHeight="1" x14ac:dyDescent="0.25">
      <c r="A248" s="172"/>
      <c r="B248" s="172"/>
      <c r="C248" s="188"/>
      <c r="D248" s="376" t="s">
        <v>508</v>
      </c>
      <c r="E248" s="151">
        <v>1</v>
      </c>
      <c r="F248" s="151">
        <v>151522</v>
      </c>
      <c r="G248" s="151"/>
      <c r="H248" s="151"/>
      <c r="I248" s="151">
        <f>1000+táj2!I248</f>
        <v>1000</v>
      </c>
      <c r="J248" s="151"/>
      <c r="K248" s="151"/>
      <c r="L248" s="151"/>
      <c r="M248" s="151"/>
      <c r="N248" s="151"/>
      <c r="O248" s="151"/>
      <c r="P248" s="151"/>
      <c r="Q248" s="151">
        <f t="shared" si="22"/>
        <v>1000</v>
      </c>
    </row>
    <row r="249" spans="1:17" ht="15" customHeight="1" x14ac:dyDescent="0.25">
      <c r="A249" s="172"/>
      <c r="B249" s="172"/>
      <c r="C249" s="188"/>
      <c r="D249" s="185" t="s">
        <v>509</v>
      </c>
      <c r="E249" s="151">
        <v>1</v>
      </c>
      <c r="F249" s="151">
        <v>151512</v>
      </c>
      <c r="G249" s="151"/>
      <c r="H249" s="151"/>
      <c r="I249" s="151">
        <f>1375+táj2!I249</f>
        <v>1375</v>
      </c>
      <c r="J249" s="151"/>
      <c r="K249" s="151"/>
      <c r="L249" s="151"/>
      <c r="M249" s="151"/>
      <c r="N249" s="151"/>
      <c r="O249" s="151"/>
      <c r="P249" s="151"/>
      <c r="Q249" s="151">
        <f t="shared" si="22"/>
        <v>1375</v>
      </c>
    </row>
    <row r="250" spans="1:17" ht="15" customHeight="1" x14ac:dyDescent="0.25">
      <c r="A250" s="172"/>
      <c r="B250" s="172"/>
      <c r="C250" s="188"/>
      <c r="D250" s="376" t="s">
        <v>510</v>
      </c>
      <c r="E250" s="151">
        <v>1</v>
      </c>
      <c r="F250" s="151">
        <v>151519</v>
      </c>
      <c r="G250" s="151"/>
      <c r="H250" s="151"/>
      <c r="I250" s="151">
        <f>909+táj2!I250</f>
        <v>909</v>
      </c>
      <c r="J250" s="151"/>
      <c r="K250" s="151"/>
      <c r="L250" s="151"/>
      <c r="M250" s="151"/>
      <c r="N250" s="151"/>
      <c r="O250" s="151"/>
      <c r="P250" s="151"/>
      <c r="Q250" s="151">
        <f t="shared" si="22"/>
        <v>909</v>
      </c>
    </row>
    <row r="251" spans="1:17" ht="15" customHeight="1" x14ac:dyDescent="0.25">
      <c r="A251" s="172"/>
      <c r="B251" s="172"/>
      <c r="C251" s="188"/>
      <c r="D251" s="185" t="s">
        <v>511</v>
      </c>
      <c r="E251" s="151">
        <v>2</v>
      </c>
      <c r="F251" s="151">
        <v>151511</v>
      </c>
      <c r="G251" s="151"/>
      <c r="H251" s="151"/>
      <c r="I251" s="151">
        <f>4500+táj2!I251</f>
        <v>4500</v>
      </c>
      <c r="J251" s="151"/>
      <c r="K251" s="151"/>
      <c r="L251" s="151"/>
      <c r="M251" s="151"/>
      <c r="N251" s="151"/>
      <c r="O251" s="151"/>
      <c r="P251" s="151"/>
      <c r="Q251" s="151">
        <f t="shared" si="22"/>
        <v>4500</v>
      </c>
    </row>
    <row r="252" spans="1:17" ht="15" customHeight="1" x14ac:dyDescent="0.25">
      <c r="A252" s="172"/>
      <c r="B252" s="172"/>
      <c r="C252" s="188"/>
      <c r="D252" s="185" t="s">
        <v>512</v>
      </c>
      <c r="E252" s="183">
        <v>2</v>
      </c>
      <c r="F252" s="151">
        <v>151514</v>
      </c>
      <c r="G252" s="151"/>
      <c r="H252" s="151"/>
      <c r="I252" s="151">
        <f>3500+táj2!I252</f>
        <v>3500</v>
      </c>
      <c r="J252" s="151"/>
      <c r="K252" s="151"/>
      <c r="L252" s="151"/>
      <c r="M252" s="151"/>
      <c r="N252" s="151"/>
      <c r="O252" s="151"/>
      <c r="P252" s="151"/>
      <c r="Q252" s="151">
        <f t="shared" si="22"/>
        <v>3500</v>
      </c>
    </row>
    <row r="253" spans="1:17" ht="15" customHeight="1" x14ac:dyDescent="0.25">
      <c r="A253" s="172"/>
      <c r="B253" s="172"/>
      <c r="C253" s="188"/>
      <c r="D253" s="185" t="s">
        <v>513</v>
      </c>
      <c r="E253" s="183">
        <v>2</v>
      </c>
      <c r="F253" s="151">
        <v>151515</v>
      </c>
      <c r="G253" s="151"/>
      <c r="H253" s="151"/>
      <c r="I253" s="151">
        <f>500+táj2!I253</f>
        <v>500</v>
      </c>
      <c r="J253" s="151"/>
      <c r="K253" s="151"/>
      <c r="L253" s="151"/>
      <c r="M253" s="151"/>
      <c r="N253" s="151"/>
      <c r="O253" s="151"/>
      <c r="P253" s="151"/>
      <c r="Q253" s="151">
        <f t="shared" si="22"/>
        <v>500</v>
      </c>
    </row>
    <row r="254" spans="1:17" ht="15" customHeight="1" x14ac:dyDescent="0.25">
      <c r="A254" s="172"/>
      <c r="B254" s="172"/>
      <c r="C254" s="188"/>
      <c r="D254" s="185" t="s">
        <v>514</v>
      </c>
      <c r="E254" s="183">
        <v>1</v>
      </c>
      <c r="F254" s="151">
        <v>151513</v>
      </c>
      <c r="G254" s="151"/>
      <c r="H254" s="151"/>
      <c r="I254" s="151">
        <f>10400+táj2!I254</f>
        <v>10400</v>
      </c>
      <c r="J254" s="151"/>
      <c r="K254" s="151"/>
      <c r="L254" s="151"/>
      <c r="M254" s="151"/>
      <c r="N254" s="151"/>
      <c r="O254" s="151"/>
      <c r="P254" s="151"/>
      <c r="Q254" s="151">
        <f t="shared" si="22"/>
        <v>10400</v>
      </c>
    </row>
    <row r="255" spans="1:17" ht="15" customHeight="1" x14ac:dyDescent="0.25">
      <c r="A255" s="172"/>
      <c r="B255" s="172"/>
      <c r="C255" s="188"/>
      <c r="D255" s="185" t="s">
        <v>515</v>
      </c>
      <c r="E255" s="183">
        <v>2</v>
      </c>
      <c r="F255" s="151">
        <v>151918</v>
      </c>
      <c r="G255" s="151"/>
      <c r="H255" s="151"/>
      <c r="I255" s="151">
        <f>1000+táj2!I255</f>
        <v>1000</v>
      </c>
      <c r="J255" s="151"/>
      <c r="K255" s="151"/>
      <c r="L255" s="151"/>
      <c r="M255" s="151"/>
      <c r="N255" s="151"/>
      <c r="O255" s="151"/>
      <c r="P255" s="151"/>
      <c r="Q255" s="151">
        <v>1000</v>
      </c>
    </row>
    <row r="256" spans="1:17" ht="17.25" customHeight="1" x14ac:dyDescent="0.25">
      <c r="A256" s="172"/>
      <c r="B256" s="172"/>
      <c r="C256" s="188"/>
      <c r="D256" s="185" t="s">
        <v>516</v>
      </c>
      <c r="E256" s="183">
        <v>2</v>
      </c>
      <c r="F256" s="151">
        <v>151923</v>
      </c>
      <c r="G256" s="151"/>
      <c r="H256" s="151"/>
      <c r="I256" s="151">
        <f>1000+táj2!I256</f>
        <v>1000</v>
      </c>
      <c r="J256" s="151"/>
      <c r="K256" s="151"/>
      <c r="L256" s="151"/>
      <c r="M256" s="151"/>
      <c r="N256" s="151"/>
      <c r="O256" s="151"/>
      <c r="P256" s="151"/>
      <c r="Q256" s="151">
        <f t="shared" si="22"/>
        <v>1000</v>
      </c>
    </row>
    <row r="257" spans="1:17" ht="17.25" customHeight="1" x14ac:dyDescent="0.25">
      <c r="A257" s="172"/>
      <c r="B257" s="172"/>
      <c r="C257" s="188"/>
      <c r="D257" s="788" t="s">
        <v>895</v>
      </c>
      <c r="E257" s="789">
        <v>2</v>
      </c>
      <c r="F257" s="151">
        <v>151524</v>
      </c>
      <c r="G257" s="151"/>
      <c r="H257" s="151"/>
      <c r="I257" s="151">
        <f>2118+táj2!I257</f>
        <v>2118</v>
      </c>
      <c r="J257" s="151"/>
      <c r="K257" s="151"/>
      <c r="L257" s="151"/>
      <c r="M257" s="151"/>
      <c r="N257" s="151"/>
      <c r="O257" s="151"/>
      <c r="P257" s="151"/>
      <c r="Q257" s="151">
        <f t="shared" si="22"/>
        <v>2118</v>
      </c>
    </row>
    <row r="258" spans="1:17" ht="15" customHeight="1" thickBot="1" x14ac:dyDescent="0.3">
      <c r="A258" s="172"/>
      <c r="B258" s="172"/>
      <c r="C258" s="188"/>
      <c r="D258" s="878" t="s">
        <v>1300</v>
      </c>
      <c r="E258" s="879"/>
      <c r="F258" s="818"/>
      <c r="G258" s="151"/>
      <c r="H258" s="151"/>
      <c r="I258" s="151"/>
      <c r="J258" s="151"/>
      <c r="K258" s="151"/>
      <c r="L258" s="151"/>
      <c r="M258" s="151"/>
      <c r="N258" s="151"/>
      <c r="O258" s="151"/>
      <c r="P258" s="151"/>
      <c r="Q258" s="151"/>
    </row>
    <row r="259" spans="1:17" ht="15" customHeight="1" x14ac:dyDescent="0.25">
      <c r="A259" s="172"/>
      <c r="B259" s="172"/>
      <c r="C259" s="188"/>
      <c r="D259" s="764" t="s">
        <v>518</v>
      </c>
      <c r="E259" s="151">
        <v>1</v>
      </c>
      <c r="F259" s="151">
        <v>151401</v>
      </c>
      <c r="G259" s="151"/>
      <c r="H259" s="151"/>
      <c r="I259" s="151">
        <f>206372+táj2!I259</f>
        <v>205555</v>
      </c>
      <c r="J259" s="151"/>
      <c r="K259" s="151"/>
      <c r="L259" s="151"/>
      <c r="M259" s="151"/>
      <c r="N259" s="151"/>
      <c r="O259" s="151"/>
      <c r="P259" s="151"/>
      <c r="Q259" s="151">
        <f t="shared" ref="Q259:Q273" si="23">SUM(G259:P259)</f>
        <v>205555</v>
      </c>
    </row>
    <row r="260" spans="1:17" ht="15" customHeight="1" x14ac:dyDescent="0.25">
      <c r="A260" s="172"/>
      <c r="B260" s="172"/>
      <c r="C260" s="188"/>
      <c r="D260" s="186" t="s">
        <v>519</v>
      </c>
      <c r="E260" s="183">
        <v>1</v>
      </c>
      <c r="F260" s="151">
        <v>151402</v>
      </c>
      <c r="G260" s="151"/>
      <c r="H260" s="151"/>
      <c r="I260" s="151">
        <f>57638+táj2!I260</f>
        <v>57638</v>
      </c>
      <c r="J260" s="151"/>
      <c r="K260" s="151">
        <f>1334+táj2!K260</f>
        <v>1334</v>
      </c>
      <c r="L260" s="151"/>
      <c r="M260" s="151"/>
      <c r="N260" s="151"/>
      <c r="O260" s="151"/>
      <c r="P260" s="151"/>
      <c r="Q260" s="151">
        <f t="shared" si="23"/>
        <v>58972</v>
      </c>
    </row>
    <row r="261" spans="1:17" ht="15" customHeight="1" x14ac:dyDescent="0.25">
      <c r="A261" s="172"/>
      <c r="B261" s="172"/>
      <c r="C261" s="188"/>
      <c r="D261" s="186" t="s">
        <v>896</v>
      </c>
      <c r="E261" s="183">
        <v>1</v>
      </c>
      <c r="F261" s="151">
        <v>151421</v>
      </c>
      <c r="G261" s="151"/>
      <c r="H261" s="151"/>
      <c r="I261" s="151">
        <f>500+táj2!I261</f>
        <v>500</v>
      </c>
      <c r="J261" s="151"/>
      <c r="K261" s="151"/>
      <c r="L261" s="151"/>
      <c r="M261" s="151"/>
      <c r="N261" s="151"/>
      <c r="O261" s="151"/>
      <c r="P261" s="151"/>
      <c r="Q261" s="151">
        <f t="shared" si="23"/>
        <v>500</v>
      </c>
    </row>
    <row r="262" spans="1:17" ht="15" customHeight="1" x14ac:dyDescent="0.25">
      <c r="A262" s="172"/>
      <c r="B262" s="172"/>
      <c r="C262" s="188"/>
      <c r="D262" s="764" t="s">
        <v>520</v>
      </c>
      <c r="E262" s="183">
        <v>1</v>
      </c>
      <c r="F262" s="151">
        <v>151411</v>
      </c>
      <c r="G262" s="151"/>
      <c r="H262" s="151"/>
      <c r="I262" s="151">
        <f>8000+táj2!I262</f>
        <v>8000</v>
      </c>
      <c r="J262" s="151"/>
      <c r="K262" s="151"/>
      <c r="L262" s="151"/>
      <c r="M262" s="151"/>
      <c r="N262" s="151"/>
      <c r="O262" s="151"/>
      <c r="P262" s="151"/>
      <c r="Q262" s="151">
        <f t="shared" si="23"/>
        <v>8000</v>
      </c>
    </row>
    <row r="263" spans="1:17" ht="15" customHeight="1" x14ac:dyDescent="0.25">
      <c r="A263" s="172"/>
      <c r="B263" s="172"/>
      <c r="C263" s="188"/>
      <c r="D263" s="186" t="s">
        <v>521</v>
      </c>
      <c r="E263" s="183">
        <v>1</v>
      </c>
      <c r="F263" s="151">
        <v>151412</v>
      </c>
      <c r="G263" s="151"/>
      <c r="H263" s="151"/>
      <c r="I263" s="151">
        <f>1500+táj2!I263</f>
        <v>1500</v>
      </c>
      <c r="J263" s="151"/>
      <c r="K263" s="151"/>
      <c r="L263" s="151"/>
      <c r="M263" s="151"/>
      <c r="N263" s="151"/>
      <c r="O263" s="151"/>
      <c r="P263" s="151"/>
      <c r="Q263" s="151">
        <f t="shared" si="23"/>
        <v>1500</v>
      </c>
    </row>
    <row r="264" spans="1:17" ht="15" customHeight="1" x14ac:dyDescent="0.25">
      <c r="A264" s="172"/>
      <c r="B264" s="172"/>
      <c r="C264" s="188"/>
      <c r="D264" s="186" t="s">
        <v>1095</v>
      </c>
      <c r="E264" s="183">
        <v>1</v>
      </c>
      <c r="F264" s="268">
        <v>151424</v>
      </c>
      <c r="G264" s="151"/>
      <c r="H264" s="151"/>
      <c r="I264" s="151">
        <f>7000+táj2!I264</f>
        <v>7000</v>
      </c>
      <c r="J264" s="151"/>
      <c r="K264" s="151"/>
      <c r="L264" s="151"/>
      <c r="M264" s="151"/>
      <c r="N264" s="151"/>
      <c r="O264" s="151"/>
      <c r="P264" s="151"/>
      <c r="Q264" s="151">
        <f t="shared" si="23"/>
        <v>7000</v>
      </c>
    </row>
    <row r="265" spans="1:17" ht="15" customHeight="1" x14ac:dyDescent="0.25">
      <c r="A265" s="172"/>
      <c r="B265" s="172"/>
      <c r="C265" s="188"/>
      <c r="D265" s="186" t="s">
        <v>522</v>
      </c>
      <c r="E265" s="183">
        <v>2</v>
      </c>
      <c r="F265" s="151">
        <v>151414</v>
      </c>
      <c r="G265" s="151"/>
      <c r="H265" s="151"/>
      <c r="I265" s="151">
        <f>2500+táj2!I265</f>
        <v>2500</v>
      </c>
      <c r="J265" s="151"/>
      <c r="K265" s="151"/>
      <c r="L265" s="151"/>
      <c r="M265" s="151"/>
      <c r="N265" s="151"/>
      <c r="O265" s="151"/>
      <c r="P265" s="151"/>
      <c r="Q265" s="151">
        <f t="shared" si="23"/>
        <v>2500</v>
      </c>
    </row>
    <row r="266" spans="1:17" ht="15" customHeight="1" x14ac:dyDescent="0.25">
      <c r="A266" s="172"/>
      <c r="B266" s="172"/>
      <c r="C266" s="188"/>
      <c r="D266" s="186" t="s">
        <v>523</v>
      </c>
      <c r="E266" s="183">
        <v>2</v>
      </c>
      <c r="F266" s="151">
        <v>151415</v>
      </c>
      <c r="G266" s="151"/>
      <c r="H266" s="151"/>
      <c r="I266" s="151">
        <f>2487+táj2!I266</f>
        <v>2487</v>
      </c>
      <c r="J266" s="151"/>
      <c r="K266" s="151"/>
      <c r="L266" s="151"/>
      <c r="M266" s="151"/>
      <c r="N266" s="151"/>
      <c r="O266" s="151"/>
      <c r="P266" s="151"/>
      <c r="Q266" s="151">
        <f t="shared" si="23"/>
        <v>2487</v>
      </c>
    </row>
    <row r="267" spans="1:17" ht="15" customHeight="1" x14ac:dyDescent="0.25">
      <c r="A267" s="172"/>
      <c r="B267" s="172"/>
      <c r="C267" s="188"/>
      <c r="D267" s="186" t="s">
        <v>524</v>
      </c>
      <c r="E267" s="183">
        <v>1</v>
      </c>
      <c r="F267" s="151">
        <v>151416</v>
      </c>
      <c r="G267" s="151"/>
      <c r="H267" s="151"/>
      <c r="I267" s="151">
        <f>3550+táj2!I267</f>
        <v>3550</v>
      </c>
      <c r="J267" s="151"/>
      <c r="K267" s="151"/>
      <c r="L267" s="151"/>
      <c r="M267" s="151"/>
      <c r="N267" s="151"/>
      <c r="O267" s="151"/>
      <c r="P267" s="151"/>
      <c r="Q267" s="151">
        <f t="shared" si="23"/>
        <v>3550</v>
      </c>
    </row>
    <row r="268" spans="1:17" ht="15" customHeight="1" x14ac:dyDescent="0.25">
      <c r="A268" s="172"/>
      <c r="B268" s="172"/>
      <c r="C268" s="188"/>
      <c r="D268" s="186" t="s">
        <v>525</v>
      </c>
      <c r="E268" s="183">
        <v>1</v>
      </c>
      <c r="F268" s="151">
        <v>151417</v>
      </c>
      <c r="G268" s="151"/>
      <c r="H268" s="151"/>
      <c r="I268" s="151">
        <f>4000+táj2!I268</f>
        <v>4000</v>
      </c>
      <c r="J268" s="151"/>
      <c r="K268" s="151"/>
      <c r="L268" s="151"/>
      <c r="M268" s="151"/>
      <c r="N268" s="151"/>
      <c r="O268" s="151"/>
      <c r="P268" s="151"/>
      <c r="Q268" s="151">
        <f t="shared" si="23"/>
        <v>4000</v>
      </c>
    </row>
    <row r="269" spans="1:17" ht="15" customHeight="1" x14ac:dyDescent="0.25">
      <c r="A269" s="172"/>
      <c r="B269" s="172"/>
      <c r="C269" s="188"/>
      <c r="D269" s="186" t="s">
        <v>526</v>
      </c>
      <c r="E269" s="183">
        <v>2</v>
      </c>
      <c r="F269" s="151">
        <v>151407</v>
      </c>
      <c r="G269" s="151"/>
      <c r="H269" s="151"/>
      <c r="I269" s="151">
        <f>6326+táj2!I269</f>
        <v>6326</v>
      </c>
      <c r="J269" s="151"/>
      <c r="K269" s="151"/>
      <c r="L269" s="151"/>
      <c r="M269" s="151"/>
      <c r="N269" s="151"/>
      <c r="O269" s="151"/>
      <c r="P269" s="151"/>
      <c r="Q269" s="151">
        <f t="shared" si="23"/>
        <v>6326</v>
      </c>
    </row>
    <row r="270" spans="1:17" ht="15" customHeight="1" x14ac:dyDescent="0.25">
      <c r="A270" s="172"/>
      <c r="B270" s="172"/>
      <c r="C270" s="188"/>
      <c r="D270" s="186" t="s">
        <v>527</v>
      </c>
      <c r="E270" s="183">
        <v>1</v>
      </c>
      <c r="F270" s="151">
        <v>151403</v>
      </c>
      <c r="G270" s="151"/>
      <c r="H270" s="151"/>
      <c r="I270" s="151">
        <f>1978+táj2!I270</f>
        <v>1978</v>
      </c>
      <c r="J270" s="151"/>
      <c r="K270" s="151"/>
      <c r="L270" s="151"/>
      <c r="M270" s="151"/>
      <c r="N270" s="151"/>
      <c r="O270" s="151"/>
      <c r="P270" s="151"/>
      <c r="Q270" s="151">
        <f t="shared" si="23"/>
        <v>1978</v>
      </c>
    </row>
    <row r="271" spans="1:17" ht="15" customHeight="1" x14ac:dyDescent="0.25">
      <c r="A271" s="172"/>
      <c r="B271" s="172"/>
      <c r="C271" s="188"/>
      <c r="D271" s="186" t="s">
        <v>528</v>
      </c>
      <c r="E271" s="183">
        <v>2</v>
      </c>
      <c r="F271" s="183">
        <v>151404</v>
      </c>
      <c r="G271" s="151"/>
      <c r="H271" s="151"/>
      <c r="I271" s="151">
        <f>8173+táj2!I271</f>
        <v>8173</v>
      </c>
      <c r="J271" s="151"/>
      <c r="K271" s="151"/>
      <c r="L271" s="151"/>
      <c r="M271" s="151"/>
      <c r="N271" s="151"/>
      <c r="O271" s="151"/>
      <c r="P271" s="151"/>
      <c r="Q271" s="151">
        <f t="shared" si="23"/>
        <v>8173</v>
      </c>
    </row>
    <row r="272" spans="1:17" ht="15" customHeight="1" x14ac:dyDescent="0.25">
      <c r="A272" s="172"/>
      <c r="B272" s="172"/>
      <c r="C272" s="188"/>
      <c r="D272" s="376" t="s">
        <v>1096</v>
      </c>
      <c r="E272" s="183">
        <v>2</v>
      </c>
      <c r="F272" s="183">
        <v>151408</v>
      </c>
      <c r="G272" s="151"/>
      <c r="H272" s="151"/>
      <c r="I272" s="151">
        <f>3500+táj2!I272</f>
        <v>2116</v>
      </c>
      <c r="J272" s="151"/>
      <c r="K272" s="151"/>
      <c r="L272" s="151"/>
      <c r="M272" s="151"/>
      <c r="N272" s="151"/>
      <c r="O272" s="151"/>
      <c r="P272" s="151"/>
      <c r="Q272" s="151">
        <f t="shared" si="23"/>
        <v>2116</v>
      </c>
    </row>
    <row r="273" spans="1:17" ht="15" customHeight="1" x14ac:dyDescent="0.25">
      <c r="A273" s="172"/>
      <c r="B273" s="172"/>
      <c r="C273" s="188"/>
      <c r="D273" s="376" t="s">
        <v>529</v>
      </c>
      <c r="E273" s="183">
        <v>1</v>
      </c>
      <c r="F273" s="183">
        <v>151409</v>
      </c>
      <c r="G273" s="151"/>
      <c r="H273" s="151"/>
      <c r="I273" s="151">
        <f>500+táj2!I273</f>
        <v>500</v>
      </c>
      <c r="J273" s="151"/>
      <c r="K273" s="151"/>
      <c r="L273" s="151"/>
      <c r="M273" s="151"/>
      <c r="N273" s="151"/>
      <c r="O273" s="151"/>
      <c r="P273" s="151"/>
      <c r="Q273" s="151">
        <f t="shared" si="23"/>
        <v>500</v>
      </c>
    </row>
    <row r="274" spans="1:17" ht="15" customHeight="1" x14ac:dyDescent="0.25">
      <c r="A274" s="172"/>
      <c r="B274" s="172"/>
      <c r="C274" s="188"/>
      <c r="D274" s="186" t="s">
        <v>530</v>
      </c>
      <c r="E274" s="183"/>
      <c r="F274" s="183"/>
      <c r="G274" s="151"/>
      <c r="H274" s="151"/>
      <c r="I274" s="151"/>
      <c r="J274" s="151"/>
      <c r="K274" s="151"/>
      <c r="L274" s="151"/>
      <c r="M274" s="151"/>
      <c r="N274" s="151"/>
      <c r="O274" s="151"/>
      <c r="P274" s="151"/>
      <c r="Q274" s="151"/>
    </row>
    <row r="275" spans="1:17" ht="24.75" customHeight="1" x14ac:dyDescent="0.25">
      <c r="A275" s="172"/>
      <c r="B275" s="172"/>
      <c r="C275" s="188"/>
      <c r="D275" s="193" t="s">
        <v>531</v>
      </c>
      <c r="E275" s="208">
        <v>1</v>
      </c>
      <c r="F275" s="210">
        <v>191129</v>
      </c>
      <c r="G275" s="151"/>
      <c r="H275" s="151"/>
      <c r="I275" s="151">
        <f>0+táj2!I275</f>
        <v>4840</v>
      </c>
      <c r="J275" s="151"/>
      <c r="K275" s="151">
        <f>584021+táj2!K275</f>
        <v>584021</v>
      </c>
      <c r="L275" s="151"/>
      <c r="M275" s="151"/>
      <c r="N275" s="151"/>
      <c r="O275" s="151"/>
      <c r="P275" s="151"/>
      <c r="Q275" s="151">
        <f>SUM(G275:P275)</f>
        <v>588861</v>
      </c>
    </row>
    <row r="276" spans="1:17" ht="14.25" customHeight="1" x14ac:dyDescent="0.25">
      <c r="A276" s="172"/>
      <c r="B276" s="172"/>
      <c r="C276" s="188"/>
      <c r="D276" s="185" t="s">
        <v>532</v>
      </c>
      <c r="E276" s="183"/>
      <c r="F276" s="183"/>
      <c r="G276" s="151"/>
      <c r="H276" s="151"/>
      <c r="I276" s="151"/>
      <c r="J276" s="151"/>
      <c r="K276" s="151"/>
      <c r="L276" s="151"/>
      <c r="M276" s="151"/>
      <c r="N276" s="151"/>
      <c r="O276" s="151"/>
      <c r="P276" s="151"/>
      <c r="Q276" s="151"/>
    </row>
    <row r="277" spans="1:17" ht="15" customHeight="1" x14ac:dyDescent="0.25">
      <c r="A277" s="151"/>
      <c r="B277" s="151"/>
      <c r="C277" s="151"/>
      <c r="D277" s="186" t="s">
        <v>533</v>
      </c>
      <c r="E277" s="151">
        <v>1</v>
      </c>
      <c r="F277" s="151">
        <v>151102</v>
      </c>
      <c r="G277" s="151"/>
      <c r="H277" s="151"/>
      <c r="I277" s="151">
        <f>2550+táj2!I277</f>
        <v>2550</v>
      </c>
      <c r="J277" s="151"/>
      <c r="K277" s="151"/>
      <c r="L277" s="151"/>
      <c r="M277" s="151"/>
      <c r="N277" s="151"/>
      <c r="O277" s="151"/>
      <c r="P277" s="151"/>
      <c r="Q277" s="151">
        <f>SUM(G277:P277)</f>
        <v>2550</v>
      </c>
    </row>
    <row r="278" spans="1:17" ht="15" customHeight="1" x14ac:dyDescent="0.25">
      <c r="A278" s="172"/>
      <c r="B278" s="172"/>
      <c r="C278" s="188"/>
      <c r="D278" s="186" t="s">
        <v>534</v>
      </c>
      <c r="E278" s="151">
        <v>1</v>
      </c>
      <c r="F278" s="151">
        <v>151103</v>
      </c>
      <c r="G278" s="151"/>
      <c r="H278" s="151"/>
      <c r="I278" s="151">
        <f>4650+táj2!I278</f>
        <v>4650</v>
      </c>
      <c r="J278" s="151"/>
      <c r="K278" s="151"/>
      <c r="L278" s="151"/>
      <c r="M278" s="151"/>
      <c r="N278" s="151"/>
      <c r="O278" s="151"/>
      <c r="P278" s="151"/>
      <c r="Q278" s="151">
        <f>SUM(G278:P278)</f>
        <v>4650</v>
      </c>
    </row>
    <row r="279" spans="1:17" ht="15" customHeight="1" x14ac:dyDescent="0.25">
      <c r="A279" s="172"/>
      <c r="B279" s="172"/>
      <c r="C279" s="188"/>
      <c r="D279" s="186" t="s">
        <v>535</v>
      </c>
      <c r="E279" s="151">
        <v>1</v>
      </c>
      <c r="F279" s="151">
        <v>151105</v>
      </c>
      <c r="G279" s="151"/>
      <c r="H279" s="151"/>
      <c r="I279" s="151">
        <f>4000+táj2!I279</f>
        <v>4000</v>
      </c>
      <c r="J279" s="151"/>
      <c r="K279" s="151"/>
      <c r="L279" s="151"/>
      <c r="M279" s="151"/>
      <c r="N279" s="151"/>
      <c r="O279" s="151"/>
      <c r="P279" s="151"/>
      <c r="Q279" s="151">
        <f>SUM(G279:P279)</f>
        <v>4000</v>
      </c>
    </row>
    <row r="280" spans="1:17" ht="15" customHeight="1" x14ac:dyDescent="0.25">
      <c r="A280" s="172"/>
      <c r="B280" s="172"/>
      <c r="C280" s="188"/>
      <c r="D280" s="186" t="s">
        <v>536</v>
      </c>
      <c r="E280" s="183"/>
      <c r="F280" s="183"/>
      <c r="G280" s="151"/>
      <c r="H280" s="151"/>
      <c r="I280" s="151"/>
      <c r="J280" s="151"/>
      <c r="K280" s="151"/>
      <c r="L280" s="151"/>
      <c r="M280" s="151"/>
      <c r="N280" s="151"/>
      <c r="O280" s="151"/>
      <c r="P280" s="151"/>
      <c r="Q280" s="151"/>
    </row>
    <row r="281" spans="1:17" ht="15" customHeight="1" x14ac:dyDescent="0.25">
      <c r="A281" s="172"/>
      <c r="B281" s="172"/>
      <c r="C281" s="188"/>
      <c r="D281" s="185" t="s">
        <v>537</v>
      </c>
      <c r="E281" s="183">
        <v>1</v>
      </c>
      <c r="F281" s="151">
        <v>151301</v>
      </c>
      <c r="G281" s="151"/>
      <c r="H281" s="151"/>
      <c r="I281" s="151">
        <f>21526+táj2!I281</f>
        <v>21526</v>
      </c>
      <c r="J281" s="151"/>
      <c r="K281" s="151"/>
      <c r="L281" s="151"/>
      <c r="M281" s="151"/>
      <c r="N281" s="151"/>
      <c r="O281" s="151"/>
      <c r="P281" s="151"/>
      <c r="Q281" s="151">
        <f t="shared" ref="Q281:Q296" si="24">SUM(G281:P281)</f>
        <v>21526</v>
      </c>
    </row>
    <row r="282" spans="1:17" ht="15" customHeight="1" x14ac:dyDescent="0.25">
      <c r="A282" s="172"/>
      <c r="B282" s="172"/>
      <c r="C282" s="188"/>
      <c r="D282" s="185" t="s">
        <v>538</v>
      </c>
      <c r="E282" s="183">
        <v>1</v>
      </c>
      <c r="F282" s="151">
        <v>151310</v>
      </c>
      <c r="G282" s="151"/>
      <c r="H282" s="151"/>
      <c r="I282" s="151">
        <f>15476+táj2!I282</f>
        <v>15476</v>
      </c>
      <c r="J282" s="151"/>
      <c r="K282" s="151"/>
      <c r="L282" s="151"/>
      <c r="M282" s="151"/>
      <c r="N282" s="151"/>
      <c r="O282" s="151"/>
      <c r="P282" s="151"/>
      <c r="Q282" s="151">
        <f t="shared" si="24"/>
        <v>15476</v>
      </c>
    </row>
    <row r="283" spans="1:17" ht="15" customHeight="1" x14ac:dyDescent="0.25">
      <c r="A283" s="172"/>
      <c r="B283" s="172"/>
      <c r="C283" s="188"/>
      <c r="D283" s="185" t="s">
        <v>539</v>
      </c>
      <c r="E283" s="183">
        <v>1</v>
      </c>
      <c r="F283" s="151">
        <v>151313</v>
      </c>
      <c r="G283" s="151"/>
      <c r="H283" s="151"/>
      <c r="I283" s="151">
        <f>18537+táj2!I283</f>
        <v>18537</v>
      </c>
      <c r="J283" s="151"/>
      <c r="K283" s="151"/>
      <c r="L283" s="151"/>
      <c r="M283" s="151"/>
      <c r="N283" s="151"/>
      <c r="O283" s="151"/>
      <c r="P283" s="151"/>
      <c r="Q283" s="151">
        <f t="shared" si="24"/>
        <v>18537</v>
      </c>
    </row>
    <row r="284" spans="1:17" ht="15" customHeight="1" x14ac:dyDescent="0.25">
      <c r="A284" s="172"/>
      <c r="B284" s="172"/>
      <c r="C284" s="188"/>
      <c r="D284" s="185" t="s">
        <v>540</v>
      </c>
      <c r="E284" s="183">
        <v>1</v>
      </c>
      <c r="F284" s="151">
        <v>151314</v>
      </c>
      <c r="G284" s="151"/>
      <c r="H284" s="151"/>
      <c r="I284" s="151">
        <f>50770+táj2!I284</f>
        <v>50678</v>
      </c>
      <c r="J284" s="151"/>
      <c r="K284" s="151"/>
      <c r="L284" s="151"/>
      <c r="M284" s="151"/>
      <c r="N284" s="151"/>
      <c r="O284" s="151"/>
      <c r="P284" s="151"/>
      <c r="Q284" s="151">
        <f t="shared" si="24"/>
        <v>50678</v>
      </c>
    </row>
    <row r="285" spans="1:17" ht="15" customHeight="1" x14ac:dyDescent="0.25">
      <c r="A285" s="172"/>
      <c r="B285" s="172"/>
      <c r="C285" s="188"/>
      <c r="D285" s="185" t="s">
        <v>541</v>
      </c>
      <c r="E285" s="183">
        <v>1</v>
      </c>
      <c r="F285" s="151">
        <v>151320</v>
      </c>
      <c r="G285" s="151"/>
      <c r="H285" s="151"/>
      <c r="I285" s="151">
        <f>7000+táj2!I285</f>
        <v>7000</v>
      </c>
      <c r="J285" s="151"/>
      <c r="K285" s="151"/>
      <c r="L285" s="151"/>
      <c r="M285" s="151"/>
      <c r="N285" s="151"/>
      <c r="O285" s="151"/>
      <c r="P285" s="151"/>
      <c r="Q285" s="151">
        <f t="shared" si="24"/>
        <v>7000</v>
      </c>
    </row>
    <row r="286" spans="1:17" ht="15" customHeight="1" x14ac:dyDescent="0.25">
      <c r="A286" s="172"/>
      <c r="B286" s="172"/>
      <c r="C286" s="188"/>
      <c r="D286" s="185" t="s">
        <v>542</v>
      </c>
      <c r="E286" s="183">
        <v>1</v>
      </c>
      <c r="F286" s="151">
        <v>151317</v>
      </c>
      <c r="G286" s="151"/>
      <c r="H286" s="151"/>
      <c r="I286" s="151">
        <f>18240+táj2!I286</f>
        <v>18240</v>
      </c>
      <c r="J286" s="151"/>
      <c r="K286" s="151"/>
      <c r="L286" s="151"/>
      <c r="M286" s="151"/>
      <c r="N286" s="151"/>
      <c r="O286" s="151"/>
      <c r="P286" s="151"/>
      <c r="Q286" s="151">
        <f t="shared" si="24"/>
        <v>18240</v>
      </c>
    </row>
    <row r="287" spans="1:17" ht="16.5" customHeight="1" x14ac:dyDescent="0.25">
      <c r="A287" s="172"/>
      <c r="B287" s="172"/>
      <c r="C287" s="188"/>
      <c r="D287" s="193" t="s">
        <v>897</v>
      </c>
      <c r="E287" s="183">
        <v>1</v>
      </c>
      <c r="F287" s="151">
        <v>151306</v>
      </c>
      <c r="G287" s="151"/>
      <c r="H287" s="151"/>
      <c r="I287" s="151">
        <f>5116+táj2!I287</f>
        <v>5116</v>
      </c>
      <c r="J287" s="151"/>
      <c r="K287" s="151"/>
      <c r="L287" s="151"/>
      <c r="M287" s="151"/>
      <c r="N287" s="151"/>
      <c r="O287" s="151"/>
      <c r="P287" s="151"/>
      <c r="Q287" s="151">
        <f t="shared" si="24"/>
        <v>5116</v>
      </c>
    </row>
    <row r="288" spans="1:17" ht="28.5" customHeight="1" x14ac:dyDescent="0.25">
      <c r="A288" s="172"/>
      <c r="B288" s="172"/>
      <c r="C288" s="188"/>
      <c r="D288" s="193" t="s">
        <v>543</v>
      </c>
      <c r="E288" s="183">
        <v>1</v>
      </c>
      <c r="F288" s="151">
        <v>151307</v>
      </c>
      <c r="G288" s="151"/>
      <c r="H288" s="151"/>
      <c r="I288" s="151">
        <f>10293+táj2!I288</f>
        <v>10293</v>
      </c>
      <c r="J288" s="151"/>
      <c r="K288" s="151"/>
      <c r="L288" s="151"/>
      <c r="M288" s="151"/>
      <c r="N288" s="151"/>
      <c r="O288" s="151"/>
      <c r="P288" s="151"/>
      <c r="Q288" s="151">
        <f t="shared" si="24"/>
        <v>10293</v>
      </c>
    </row>
    <row r="289" spans="1:17" ht="24" customHeight="1" x14ac:dyDescent="0.25">
      <c r="A289" s="172"/>
      <c r="B289" s="172"/>
      <c r="C289" s="188"/>
      <c r="D289" s="193" t="s">
        <v>544</v>
      </c>
      <c r="E289" s="183">
        <v>1</v>
      </c>
      <c r="F289" s="151">
        <v>151308</v>
      </c>
      <c r="G289" s="151"/>
      <c r="H289" s="151"/>
      <c r="I289" s="151">
        <f>1000+táj2!I289</f>
        <v>1000</v>
      </c>
      <c r="J289" s="151"/>
      <c r="K289" s="151"/>
      <c r="L289" s="151"/>
      <c r="M289" s="151"/>
      <c r="N289" s="151"/>
      <c r="O289" s="151"/>
      <c r="P289" s="151"/>
      <c r="Q289" s="151">
        <f t="shared" si="24"/>
        <v>1000</v>
      </c>
    </row>
    <row r="290" spans="1:17" ht="24" customHeight="1" x14ac:dyDescent="0.25">
      <c r="A290" s="172"/>
      <c r="B290" s="172"/>
      <c r="C290" s="188"/>
      <c r="D290" s="193" t="s">
        <v>545</v>
      </c>
      <c r="E290" s="208">
        <v>1</v>
      </c>
      <c r="F290" s="210">
        <v>151311</v>
      </c>
      <c r="G290" s="151"/>
      <c r="H290" s="151"/>
      <c r="I290" s="151">
        <f>1271+táj2!I290</f>
        <v>1363</v>
      </c>
      <c r="J290" s="151"/>
      <c r="K290" s="151"/>
      <c r="L290" s="151"/>
      <c r="M290" s="151"/>
      <c r="N290" s="151"/>
      <c r="O290" s="151"/>
      <c r="P290" s="151"/>
      <c r="Q290" s="151">
        <f t="shared" si="24"/>
        <v>1363</v>
      </c>
    </row>
    <row r="291" spans="1:17" ht="15" customHeight="1" x14ac:dyDescent="0.25">
      <c r="A291" s="172"/>
      <c r="B291" s="172"/>
      <c r="C291" s="188"/>
      <c r="D291" s="186" t="s">
        <v>546</v>
      </c>
      <c r="E291" s="183">
        <v>1</v>
      </c>
      <c r="F291" s="151">
        <v>151312</v>
      </c>
      <c r="G291" s="151"/>
      <c r="H291" s="151"/>
      <c r="I291" s="151">
        <f>513+táj2!I291</f>
        <v>513</v>
      </c>
      <c r="J291" s="151"/>
      <c r="K291" s="151"/>
      <c r="L291" s="151"/>
      <c r="M291" s="151"/>
      <c r="N291" s="151"/>
      <c r="O291" s="151"/>
      <c r="P291" s="151"/>
      <c r="Q291" s="151">
        <f t="shared" si="24"/>
        <v>513</v>
      </c>
    </row>
    <row r="292" spans="1:17" ht="17.25" customHeight="1" x14ac:dyDescent="0.25">
      <c r="A292" s="172"/>
      <c r="B292" s="172"/>
      <c r="C292" s="188"/>
      <c r="D292" s="193" t="s">
        <v>1097</v>
      </c>
      <c r="E292" s="183">
        <v>1</v>
      </c>
      <c r="F292" s="151">
        <v>151302</v>
      </c>
      <c r="G292" s="151"/>
      <c r="H292" s="151"/>
      <c r="I292" s="151">
        <f>3173+táj2!I292</f>
        <v>3173</v>
      </c>
      <c r="J292" s="151"/>
      <c r="K292" s="151"/>
      <c r="L292" s="151"/>
      <c r="M292" s="151"/>
      <c r="N292" s="151"/>
      <c r="O292" s="151"/>
      <c r="P292" s="151"/>
      <c r="Q292" s="151">
        <f t="shared" si="24"/>
        <v>3173</v>
      </c>
    </row>
    <row r="293" spans="1:17" ht="25.5" customHeight="1" x14ac:dyDescent="0.25">
      <c r="A293" s="172"/>
      <c r="B293" s="172"/>
      <c r="C293" s="188"/>
      <c r="D293" s="205" t="s">
        <v>547</v>
      </c>
      <c r="E293" s="183">
        <v>1</v>
      </c>
      <c r="F293" s="151">
        <v>151303</v>
      </c>
      <c r="G293" s="151"/>
      <c r="H293" s="151"/>
      <c r="I293" s="151">
        <f>1000+táj2!I293</f>
        <v>1000</v>
      </c>
      <c r="J293" s="151"/>
      <c r="K293" s="151"/>
      <c r="L293" s="151"/>
      <c r="M293" s="151"/>
      <c r="N293" s="151"/>
      <c r="O293" s="151"/>
      <c r="P293" s="151"/>
      <c r="Q293" s="151">
        <f t="shared" si="24"/>
        <v>1000</v>
      </c>
    </row>
    <row r="294" spans="1:17" ht="17.25" customHeight="1" x14ac:dyDescent="0.25">
      <c r="A294" s="172"/>
      <c r="B294" s="172"/>
      <c r="C294" s="188"/>
      <c r="D294" s="377" t="s">
        <v>548</v>
      </c>
      <c r="E294" s="378">
        <v>2</v>
      </c>
      <c r="F294" s="210">
        <v>151315</v>
      </c>
      <c r="G294" s="151"/>
      <c r="H294" s="151"/>
      <c r="I294" s="151">
        <f>1000+táj2!I294</f>
        <v>1000</v>
      </c>
      <c r="J294" s="151"/>
      <c r="K294" s="151"/>
      <c r="L294" s="151"/>
      <c r="M294" s="151"/>
      <c r="N294" s="151"/>
      <c r="O294" s="151"/>
      <c r="P294" s="151"/>
      <c r="Q294" s="151">
        <f t="shared" si="24"/>
        <v>1000</v>
      </c>
    </row>
    <row r="295" spans="1:17" ht="25.5" customHeight="1" x14ac:dyDescent="0.25">
      <c r="A295" s="172"/>
      <c r="B295" s="172"/>
      <c r="C295" s="188"/>
      <c r="D295" s="379" t="s">
        <v>898</v>
      </c>
      <c r="E295" s="380">
        <v>1</v>
      </c>
      <c r="F295" s="210">
        <v>151321</v>
      </c>
      <c r="G295" s="151"/>
      <c r="H295" s="151"/>
      <c r="I295" s="151">
        <f>5000+táj2!I295</f>
        <v>5000</v>
      </c>
      <c r="J295" s="151"/>
      <c r="K295" s="151"/>
      <c r="L295" s="151"/>
      <c r="M295" s="151"/>
      <c r="N295" s="151"/>
      <c r="O295" s="151"/>
      <c r="P295" s="151"/>
      <c r="Q295" s="151">
        <f t="shared" si="24"/>
        <v>5000</v>
      </c>
    </row>
    <row r="296" spans="1:17" ht="16.5" customHeight="1" x14ac:dyDescent="0.25">
      <c r="A296" s="172"/>
      <c r="B296" s="172"/>
      <c r="C296" s="188"/>
      <c r="D296" s="193" t="s">
        <v>549</v>
      </c>
      <c r="E296" s="208">
        <v>1</v>
      </c>
      <c r="F296" s="210">
        <v>151319</v>
      </c>
      <c r="G296" s="151"/>
      <c r="H296" s="151"/>
      <c r="I296" s="151">
        <f>1457+táj2!I296</f>
        <v>1457</v>
      </c>
      <c r="J296" s="151"/>
      <c r="K296" s="151"/>
      <c r="L296" s="151"/>
      <c r="M296" s="151"/>
      <c r="N296" s="151"/>
      <c r="O296" s="151"/>
      <c r="P296" s="151"/>
      <c r="Q296" s="151">
        <f t="shared" si="24"/>
        <v>1457</v>
      </c>
    </row>
    <row r="297" spans="1:17" ht="24.9" customHeight="1" x14ac:dyDescent="0.25">
      <c r="A297" s="172"/>
      <c r="B297" s="172"/>
      <c r="C297" s="188"/>
      <c r="D297" s="193" t="s">
        <v>550</v>
      </c>
      <c r="E297" s="208"/>
      <c r="F297" s="208"/>
      <c r="G297" s="151"/>
      <c r="H297" s="151"/>
      <c r="I297" s="151"/>
      <c r="J297" s="151"/>
      <c r="K297" s="151"/>
      <c r="L297" s="151"/>
      <c r="M297" s="151"/>
      <c r="N297" s="151"/>
      <c r="O297" s="151"/>
      <c r="P297" s="151"/>
      <c r="Q297" s="151"/>
    </row>
    <row r="298" spans="1:17" ht="14.1" customHeight="1" x14ac:dyDescent="0.25">
      <c r="A298" s="172"/>
      <c r="B298" s="172"/>
      <c r="C298" s="188"/>
      <c r="D298" s="186" t="s">
        <v>551</v>
      </c>
      <c r="E298" s="151">
        <v>1</v>
      </c>
      <c r="F298" s="151">
        <v>151703</v>
      </c>
      <c r="G298" s="151"/>
      <c r="H298" s="151"/>
      <c r="I298" s="151">
        <f>4000+táj2!I298</f>
        <v>4000</v>
      </c>
      <c r="J298" s="151"/>
      <c r="K298" s="151"/>
      <c r="L298" s="151"/>
      <c r="M298" s="151"/>
      <c r="N298" s="151"/>
      <c r="O298" s="151"/>
      <c r="P298" s="151"/>
      <c r="Q298" s="151">
        <f>SUM(G298:P298)</f>
        <v>4000</v>
      </c>
    </row>
    <row r="299" spans="1:17" ht="14.1" customHeight="1" x14ac:dyDescent="0.25">
      <c r="A299" s="172"/>
      <c r="B299" s="172"/>
      <c r="C299" s="188"/>
      <c r="D299" s="185" t="s">
        <v>239</v>
      </c>
      <c r="E299" s="183"/>
      <c r="F299" s="183"/>
      <c r="G299" s="151"/>
      <c r="H299" s="151"/>
      <c r="I299" s="151"/>
      <c r="J299" s="151"/>
      <c r="K299" s="151"/>
      <c r="L299" s="151"/>
      <c r="M299" s="151"/>
      <c r="N299" s="151"/>
      <c r="O299" s="151"/>
      <c r="P299" s="151"/>
      <c r="Q299" s="151"/>
    </row>
    <row r="300" spans="1:17" ht="14.1" customHeight="1" x14ac:dyDescent="0.25">
      <c r="A300" s="172"/>
      <c r="B300" s="172"/>
      <c r="C300" s="188"/>
      <c r="D300" s="186" t="s">
        <v>552</v>
      </c>
      <c r="E300" s="151">
        <v>1</v>
      </c>
      <c r="F300" s="151">
        <v>151601</v>
      </c>
      <c r="G300" s="151"/>
      <c r="H300" s="151"/>
      <c r="I300" s="151">
        <f>21763+táj2!I300</f>
        <v>21763</v>
      </c>
      <c r="J300" s="151"/>
      <c r="K300" s="151"/>
      <c r="L300" s="151"/>
      <c r="M300" s="151"/>
      <c r="N300" s="151"/>
      <c r="O300" s="151"/>
      <c r="P300" s="151"/>
      <c r="Q300" s="151">
        <f t="shared" ref="Q300:Q316" si="25">SUM(G300:P300)</f>
        <v>21763</v>
      </c>
    </row>
    <row r="301" spans="1:17" ht="14.1" customHeight="1" x14ac:dyDescent="0.25">
      <c r="A301" s="172"/>
      <c r="B301" s="172"/>
      <c r="C301" s="188"/>
      <c r="D301" s="186" t="s">
        <v>553</v>
      </c>
      <c r="E301" s="151">
        <v>1</v>
      </c>
      <c r="F301" s="151">
        <v>151602</v>
      </c>
      <c r="G301" s="151"/>
      <c r="H301" s="151"/>
      <c r="I301" s="151"/>
      <c r="J301" s="151"/>
      <c r="K301" s="151">
        <f>19500+táj2!K301</f>
        <v>19500</v>
      </c>
      <c r="L301" s="151"/>
      <c r="M301" s="151"/>
      <c r="N301" s="151"/>
      <c r="O301" s="151"/>
      <c r="P301" s="151"/>
      <c r="Q301" s="151">
        <f t="shared" si="25"/>
        <v>19500</v>
      </c>
    </row>
    <row r="302" spans="1:17" ht="14.1" customHeight="1" x14ac:dyDescent="0.25">
      <c r="A302" s="172"/>
      <c r="B302" s="172"/>
      <c r="C302" s="188"/>
      <c r="D302" s="566" t="s">
        <v>554</v>
      </c>
      <c r="E302" s="151">
        <v>1</v>
      </c>
      <c r="F302" s="151">
        <v>151607</v>
      </c>
      <c r="G302" s="151"/>
      <c r="H302" s="151"/>
      <c r="I302" s="151">
        <f>30742+táj2!I302</f>
        <v>30742</v>
      </c>
      <c r="J302" s="151"/>
      <c r="K302" s="151"/>
      <c r="L302" s="151"/>
      <c r="M302" s="151"/>
      <c r="N302" s="151"/>
      <c r="O302" s="151"/>
      <c r="P302" s="151"/>
      <c r="Q302" s="151">
        <f t="shared" si="25"/>
        <v>30742</v>
      </c>
    </row>
    <row r="303" spans="1:17" ht="14.1" customHeight="1" x14ac:dyDescent="0.25">
      <c r="A303" s="172"/>
      <c r="B303" s="172"/>
      <c r="C303" s="188"/>
      <c r="D303" s="186" t="s">
        <v>555</v>
      </c>
      <c r="E303" s="151">
        <v>2</v>
      </c>
      <c r="F303" s="151">
        <v>151610</v>
      </c>
      <c r="G303" s="151"/>
      <c r="H303" s="151"/>
      <c r="I303" s="151">
        <f>500+táj2!I303</f>
        <v>500</v>
      </c>
      <c r="J303" s="151"/>
      <c r="K303" s="151"/>
      <c r="L303" s="151"/>
      <c r="M303" s="151"/>
      <c r="N303" s="151"/>
      <c r="O303" s="151"/>
      <c r="P303" s="151"/>
      <c r="Q303" s="151">
        <f t="shared" si="25"/>
        <v>500</v>
      </c>
    </row>
    <row r="304" spans="1:17" ht="24" customHeight="1" x14ac:dyDescent="0.25">
      <c r="A304" s="172" t="s">
        <v>88</v>
      </c>
      <c r="B304" s="172"/>
      <c r="C304" s="188"/>
      <c r="D304" s="193" t="s">
        <v>556</v>
      </c>
      <c r="E304" s="183">
        <v>2</v>
      </c>
      <c r="F304" s="151">
        <v>151619</v>
      </c>
      <c r="G304" s="151"/>
      <c r="H304" s="151"/>
      <c r="I304" s="151">
        <f>45995+táj2!I304</f>
        <v>45995</v>
      </c>
      <c r="J304" s="151"/>
      <c r="K304" s="151"/>
      <c r="L304" s="151"/>
      <c r="M304" s="151"/>
      <c r="N304" s="151"/>
      <c r="O304" s="151"/>
      <c r="P304" s="151"/>
      <c r="Q304" s="151">
        <f t="shared" si="25"/>
        <v>45995</v>
      </c>
    </row>
    <row r="305" spans="1:17" ht="17.100000000000001" customHeight="1" x14ac:dyDescent="0.25">
      <c r="A305" s="172"/>
      <c r="B305" s="172"/>
      <c r="C305" s="188"/>
      <c r="D305" s="185" t="s">
        <v>557</v>
      </c>
      <c r="E305" s="183">
        <v>2</v>
      </c>
      <c r="F305" s="151">
        <v>151626</v>
      </c>
      <c r="G305" s="151"/>
      <c r="H305" s="151"/>
      <c r="I305" s="151">
        <f>500+táj2!I305</f>
        <v>500</v>
      </c>
      <c r="J305" s="151"/>
      <c r="K305" s="151"/>
      <c r="L305" s="151"/>
      <c r="M305" s="151"/>
      <c r="N305" s="151"/>
      <c r="O305" s="151"/>
      <c r="P305" s="151"/>
      <c r="Q305" s="151">
        <f t="shared" si="25"/>
        <v>500</v>
      </c>
    </row>
    <row r="306" spans="1:17" ht="17.100000000000001" customHeight="1" x14ac:dyDescent="0.25">
      <c r="A306" s="172"/>
      <c r="B306" s="172"/>
      <c r="C306" s="188"/>
      <c r="D306" s="205" t="s">
        <v>558</v>
      </c>
      <c r="E306" s="208">
        <v>2</v>
      </c>
      <c r="F306" s="210">
        <v>151627</v>
      </c>
      <c r="G306" s="151"/>
      <c r="H306" s="151"/>
      <c r="I306" s="151">
        <f>2000+táj2!I306</f>
        <v>2000</v>
      </c>
      <c r="J306" s="151"/>
      <c r="K306" s="151"/>
      <c r="L306" s="151"/>
      <c r="M306" s="151"/>
      <c r="N306" s="151"/>
      <c r="O306" s="151"/>
      <c r="P306" s="151"/>
      <c r="Q306" s="151">
        <f t="shared" si="25"/>
        <v>2000</v>
      </c>
    </row>
    <row r="307" spans="1:17" ht="17.100000000000001" customHeight="1" x14ac:dyDescent="0.25">
      <c r="A307" s="172"/>
      <c r="B307" s="172"/>
      <c r="C307" s="188"/>
      <c r="D307" s="185" t="s">
        <v>1098</v>
      </c>
      <c r="E307" s="208">
        <v>2</v>
      </c>
      <c r="F307" s="210">
        <v>151638</v>
      </c>
      <c r="G307" s="151"/>
      <c r="H307" s="151"/>
      <c r="I307" s="151">
        <f>2500+táj2!I307</f>
        <v>2500</v>
      </c>
      <c r="J307" s="151"/>
      <c r="K307" s="151"/>
      <c r="L307" s="151"/>
      <c r="M307" s="151"/>
      <c r="N307" s="151"/>
      <c r="O307" s="151"/>
      <c r="P307" s="151"/>
      <c r="Q307" s="151">
        <f t="shared" si="25"/>
        <v>2500</v>
      </c>
    </row>
    <row r="308" spans="1:17" ht="17.100000000000001" customHeight="1" x14ac:dyDescent="0.25">
      <c r="A308" s="172"/>
      <c r="B308" s="172"/>
      <c r="C308" s="188"/>
      <c r="D308" s="186" t="s">
        <v>559</v>
      </c>
      <c r="E308" s="151">
        <v>1</v>
      </c>
      <c r="F308" s="151">
        <v>151603</v>
      </c>
      <c r="G308" s="151"/>
      <c r="H308" s="151"/>
      <c r="I308" s="151">
        <f>64068+táj2!I308</f>
        <v>64068</v>
      </c>
      <c r="J308" s="151"/>
      <c r="K308" s="151"/>
      <c r="L308" s="151"/>
      <c r="M308" s="151"/>
      <c r="N308" s="151"/>
      <c r="O308" s="151"/>
      <c r="P308" s="151"/>
      <c r="Q308" s="151">
        <f t="shared" si="25"/>
        <v>64068</v>
      </c>
    </row>
    <row r="309" spans="1:17" ht="17.100000000000001" customHeight="1" x14ac:dyDescent="0.25">
      <c r="A309" s="172"/>
      <c r="B309" s="172"/>
      <c r="C309" s="188"/>
      <c r="D309" s="186" t="s">
        <v>560</v>
      </c>
      <c r="E309" s="151">
        <v>1</v>
      </c>
      <c r="F309" s="151">
        <v>151605</v>
      </c>
      <c r="G309" s="151"/>
      <c r="H309" s="151"/>
      <c r="I309" s="151">
        <f>115365+táj2!I309</f>
        <v>115365</v>
      </c>
      <c r="J309" s="151"/>
      <c r="K309" s="151"/>
      <c r="L309" s="151"/>
      <c r="M309" s="151"/>
      <c r="N309" s="151"/>
      <c r="O309" s="151"/>
      <c r="P309" s="151"/>
      <c r="Q309" s="151">
        <f t="shared" si="25"/>
        <v>115365</v>
      </c>
    </row>
    <row r="310" spans="1:17" ht="17.100000000000001" customHeight="1" x14ac:dyDescent="0.25">
      <c r="A310" s="172"/>
      <c r="B310" s="172"/>
      <c r="C310" s="188"/>
      <c r="D310" s="186" t="s">
        <v>561</v>
      </c>
      <c r="E310" s="151">
        <v>1</v>
      </c>
      <c r="F310" s="151">
        <v>151608</v>
      </c>
      <c r="G310" s="151"/>
      <c r="H310" s="151"/>
      <c r="I310" s="151">
        <f>80000+táj2!I310</f>
        <v>80000</v>
      </c>
      <c r="J310" s="151"/>
      <c r="K310" s="151"/>
      <c r="L310" s="151"/>
      <c r="M310" s="151"/>
      <c r="N310" s="151"/>
      <c r="O310" s="151"/>
      <c r="P310" s="151"/>
      <c r="Q310" s="151">
        <f t="shared" si="25"/>
        <v>80000</v>
      </c>
    </row>
    <row r="311" spans="1:17" ht="17.100000000000001" customHeight="1" x14ac:dyDescent="0.25">
      <c r="A311" s="172"/>
      <c r="B311" s="172"/>
      <c r="C311" s="188"/>
      <c r="D311" s="186" t="s">
        <v>562</v>
      </c>
      <c r="E311" s="151">
        <v>2</v>
      </c>
      <c r="F311" s="151">
        <v>151624</v>
      </c>
      <c r="G311" s="151"/>
      <c r="H311" s="151"/>
      <c r="I311" s="151">
        <f>4800+táj2!I311</f>
        <v>4800</v>
      </c>
      <c r="J311" s="151"/>
      <c r="K311" s="151"/>
      <c r="L311" s="151"/>
      <c r="M311" s="151"/>
      <c r="N311" s="151"/>
      <c r="O311" s="151"/>
      <c r="P311" s="151"/>
      <c r="Q311" s="151">
        <f t="shared" si="25"/>
        <v>4800</v>
      </c>
    </row>
    <row r="312" spans="1:17" ht="17.100000000000001" customHeight="1" x14ac:dyDescent="0.25">
      <c r="A312" s="172"/>
      <c r="B312" s="172"/>
      <c r="C312" s="188"/>
      <c r="D312" s="186" t="s">
        <v>563</v>
      </c>
      <c r="E312" s="151">
        <v>1</v>
      </c>
      <c r="F312" s="151">
        <v>151631</v>
      </c>
      <c r="G312" s="151"/>
      <c r="H312" s="151"/>
      <c r="I312" s="151">
        <f>5328+táj2!I312</f>
        <v>5328</v>
      </c>
      <c r="J312" s="151"/>
      <c r="K312" s="151"/>
      <c r="L312" s="151"/>
      <c r="M312" s="151"/>
      <c r="N312" s="151"/>
      <c r="O312" s="151"/>
      <c r="P312" s="151"/>
      <c r="Q312" s="151">
        <f t="shared" si="25"/>
        <v>5328</v>
      </c>
    </row>
    <row r="313" spans="1:17" ht="17.100000000000001" customHeight="1" x14ac:dyDescent="0.25">
      <c r="A313" s="172"/>
      <c r="B313" s="172"/>
      <c r="C313" s="188"/>
      <c r="D313" s="382" t="s">
        <v>564</v>
      </c>
      <c r="E313" s="151">
        <v>1</v>
      </c>
      <c r="F313" s="151">
        <v>151632</v>
      </c>
      <c r="G313" s="151"/>
      <c r="H313" s="151"/>
      <c r="I313" s="151">
        <f>2500+táj2!I313</f>
        <v>2500</v>
      </c>
      <c r="J313" s="151"/>
      <c r="K313" s="151"/>
      <c r="L313" s="151"/>
      <c r="M313" s="151"/>
      <c r="N313" s="151"/>
      <c r="O313" s="151"/>
      <c r="P313" s="151"/>
      <c r="Q313" s="151">
        <f t="shared" si="25"/>
        <v>2500</v>
      </c>
    </row>
    <row r="314" spans="1:17" ht="24.75" customHeight="1" x14ac:dyDescent="0.25">
      <c r="A314" s="172"/>
      <c r="B314" s="172"/>
      <c r="C314" s="188"/>
      <c r="D314" s="153" t="s">
        <v>565</v>
      </c>
      <c r="E314" s="151">
        <v>1</v>
      </c>
      <c r="F314" s="151">
        <v>151635</v>
      </c>
      <c r="G314" s="151"/>
      <c r="H314" s="151"/>
      <c r="I314" s="151">
        <f>3000+táj2!I314</f>
        <v>3000</v>
      </c>
      <c r="J314" s="151"/>
      <c r="K314" s="151"/>
      <c r="L314" s="151"/>
      <c r="M314" s="151"/>
      <c r="N314" s="151"/>
      <c r="O314" s="151"/>
      <c r="P314" s="151"/>
      <c r="Q314" s="151">
        <f t="shared" si="25"/>
        <v>3000</v>
      </c>
    </row>
    <row r="315" spans="1:17" ht="14.1" customHeight="1" x14ac:dyDescent="0.25">
      <c r="A315" s="172"/>
      <c r="B315" s="172"/>
      <c r="C315" s="188"/>
      <c r="D315" s="383" t="s">
        <v>566</v>
      </c>
      <c r="E315" s="151">
        <v>1</v>
      </c>
      <c r="F315" s="151">
        <v>151612</v>
      </c>
      <c r="G315" s="151"/>
      <c r="H315" s="151"/>
      <c r="I315" s="151">
        <f>2000+táj2!I315</f>
        <v>2000</v>
      </c>
      <c r="J315" s="151"/>
      <c r="K315" s="151"/>
      <c r="L315" s="151"/>
      <c r="M315" s="151"/>
      <c r="N315" s="151"/>
      <c r="O315" s="151"/>
      <c r="P315" s="151"/>
      <c r="Q315" s="151">
        <f t="shared" si="25"/>
        <v>2000</v>
      </c>
    </row>
    <row r="316" spans="1:17" ht="14.1" customHeight="1" x14ac:dyDescent="0.25">
      <c r="A316" s="172"/>
      <c r="B316" s="172"/>
      <c r="C316" s="188"/>
      <c r="D316" s="383" t="s">
        <v>567</v>
      </c>
      <c r="E316" s="151">
        <v>1</v>
      </c>
      <c r="F316" s="151">
        <v>151614</v>
      </c>
      <c r="G316" s="151"/>
      <c r="H316" s="151"/>
      <c r="I316" s="151">
        <f>5089+táj2!I316</f>
        <v>5089</v>
      </c>
      <c r="J316" s="151"/>
      <c r="K316" s="151"/>
      <c r="L316" s="151"/>
      <c r="M316" s="151"/>
      <c r="N316" s="151"/>
      <c r="O316" s="151"/>
      <c r="P316" s="151"/>
      <c r="Q316" s="151">
        <f t="shared" si="25"/>
        <v>5089</v>
      </c>
    </row>
    <row r="317" spans="1:17" ht="12.9" customHeight="1" x14ac:dyDescent="0.25">
      <c r="A317" s="172"/>
      <c r="B317" s="172"/>
      <c r="C317" s="188"/>
      <c r="D317" s="373" t="s">
        <v>494</v>
      </c>
      <c r="E317" s="151"/>
      <c r="F317" s="151"/>
      <c r="G317" s="151"/>
      <c r="H317" s="151"/>
      <c r="I317" s="151"/>
      <c r="J317" s="151"/>
      <c r="K317" s="151"/>
      <c r="L317" s="151"/>
      <c r="M317" s="151"/>
      <c r="N317" s="151"/>
      <c r="O317" s="151"/>
      <c r="P317" s="151"/>
      <c r="Q317" s="151"/>
    </row>
    <row r="318" spans="1:17" ht="17.25" customHeight="1" x14ac:dyDescent="0.25">
      <c r="A318" s="172"/>
      <c r="B318" s="172"/>
      <c r="C318" s="188"/>
      <c r="D318" s="193" t="s">
        <v>568</v>
      </c>
      <c r="E318" s="151">
        <v>1</v>
      </c>
      <c r="F318" s="151">
        <v>151505</v>
      </c>
      <c r="G318" s="151"/>
      <c r="H318" s="151"/>
      <c r="I318" s="151">
        <f>8259+táj2!I318</f>
        <v>8259</v>
      </c>
      <c r="J318" s="151"/>
      <c r="K318" s="151"/>
      <c r="L318" s="151"/>
      <c r="M318" s="151"/>
      <c r="N318" s="151"/>
      <c r="O318" s="151"/>
      <c r="P318" s="151"/>
      <c r="Q318" s="151">
        <f>SUM(G318:P318)</f>
        <v>8259</v>
      </c>
    </row>
    <row r="319" spans="1:17" ht="16.5" customHeight="1" x14ac:dyDescent="0.25">
      <c r="A319" s="172"/>
      <c r="B319" s="172"/>
      <c r="C319" s="188"/>
      <c r="D319" s="185" t="s">
        <v>228</v>
      </c>
      <c r="E319" s="183"/>
      <c r="F319" s="183"/>
      <c r="G319" s="151"/>
      <c r="H319" s="151"/>
      <c r="I319" s="151"/>
      <c r="J319" s="151"/>
      <c r="K319" s="151"/>
      <c r="L319" s="151"/>
      <c r="M319" s="151"/>
      <c r="N319" s="151"/>
      <c r="O319" s="151"/>
      <c r="P319" s="151"/>
      <c r="Q319" s="151"/>
    </row>
    <row r="320" spans="1:17" ht="16.5" customHeight="1" x14ac:dyDescent="0.25">
      <c r="A320" s="172"/>
      <c r="B320" s="172"/>
      <c r="C320" s="172"/>
      <c r="D320" s="186" t="s">
        <v>229</v>
      </c>
      <c r="E320" s="151">
        <v>2</v>
      </c>
      <c r="F320" s="151">
        <v>151906</v>
      </c>
      <c r="G320" s="151"/>
      <c r="H320" s="151"/>
      <c r="I320" s="151">
        <f>147173+táj2!I320</f>
        <v>147173</v>
      </c>
      <c r="J320" s="151"/>
      <c r="K320" s="151"/>
      <c r="L320" s="151"/>
      <c r="M320" s="151"/>
      <c r="N320" s="151"/>
      <c r="O320" s="151"/>
      <c r="P320" s="151"/>
      <c r="Q320" s="151">
        <f>SUM(G320:P320)</f>
        <v>147173</v>
      </c>
    </row>
    <row r="321" spans="1:17" ht="16.5" customHeight="1" x14ac:dyDescent="0.25">
      <c r="A321" s="172"/>
      <c r="B321" s="172"/>
      <c r="C321" s="188"/>
      <c r="D321" s="186" t="s">
        <v>569</v>
      </c>
      <c r="E321" s="151">
        <v>2</v>
      </c>
      <c r="F321" s="151">
        <v>151915</v>
      </c>
      <c r="G321" s="151"/>
      <c r="H321" s="151"/>
      <c r="I321" s="151">
        <f>2667+táj2!I321</f>
        <v>2667</v>
      </c>
      <c r="J321" s="151"/>
      <c r="K321" s="151"/>
      <c r="L321" s="151"/>
      <c r="M321" s="151"/>
      <c r="N321" s="151"/>
      <c r="O321" s="151"/>
      <c r="P321" s="151"/>
      <c r="Q321" s="151">
        <f>SUM(G321:P321)</f>
        <v>2667</v>
      </c>
    </row>
    <row r="322" spans="1:17" ht="17.25" customHeight="1" x14ac:dyDescent="0.25">
      <c r="A322" s="172"/>
      <c r="B322" s="172"/>
      <c r="C322" s="188"/>
      <c r="D322" s="186" t="s">
        <v>230</v>
      </c>
      <c r="E322" s="151">
        <v>2</v>
      </c>
      <c r="F322" s="151">
        <v>151907</v>
      </c>
      <c r="G322" s="151"/>
      <c r="H322" s="151"/>
      <c r="I322" s="151">
        <f>175260+táj2!I322</f>
        <v>175260</v>
      </c>
      <c r="J322" s="151"/>
      <c r="K322" s="151"/>
      <c r="L322" s="151"/>
      <c r="M322" s="151"/>
      <c r="N322" s="151"/>
      <c r="O322" s="151"/>
      <c r="P322" s="151"/>
      <c r="Q322" s="151">
        <f>SUM(G322:P322)</f>
        <v>175260</v>
      </c>
    </row>
    <row r="323" spans="1:17" ht="25.5" customHeight="1" x14ac:dyDescent="0.25">
      <c r="A323" s="172"/>
      <c r="B323" s="172"/>
      <c r="C323" s="188"/>
      <c r="D323" s="193" t="s">
        <v>570</v>
      </c>
      <c r="E323" s="151">
        <v>2</v>
      </c>
      <c r="F323" s="151">
        <v>151924</v>
      </c>
      <c r="G323" s="151"/>
      <c r="H323" s="151"/>
      <c r="I323" s="151">
        <f>2000+táj2!I323</f>
        <v>2000</v>
      </c>
      <c r="J323" s="151"/>
      <c r="K323" s="151"/>
      <c r="L323" s="151"/>
      <c r="M323" s="151"/>
      <c r="N323" s="151"/>
      <c r="O323" s="151"/>
      <c r="P323" s="151"/>
      <c r="Q323" s="151">
        <f>SUM(G323:P323)</f>
        <v>2000</v>
      </c>
    </row>
    <row r="324" spans="1:17" ht="17.100000000000001" customHeight="1" x14ac:dyDescent="0.25">
      <c r="A324" s="172"/>
      <c r="B324" s="172"/>
      <c r="C324" s="188"/>
      <c r="D324" s="185" t="s">
        <v>571</v>
      </c>
      <c r="E324" s="183"/>
      <c r="F324" s="183"/>
      <c r="G324" s="151"/>
      <c r="H324" s="151"/>
      <c r="I324" s="151"/>
      <c r="J324" s="151"/>
      <c r="K324" s="151"/>
      <c r="L324" s="151"/>
      <c r="M324" s="151"/>
      <c r="N324" s="151"/>
      <c r="O324" s="151"/>
      <c r="P324" s="151"/>
      <c r="Q324" s="151"/>
    </row>
    <row r="325" spans="1:17" ht="17.100000000000001" customHeight="1" x14ac:dyDescent="0.25">
      <c r="A325" s="172"/>
      <c r="B325" s="172"/>
      <c r="C325" s="188"/>
      <c r="D325" s="185" t="s">
        <v>572</v>
      </c>
      <c r="E325" s="183">
        <v>1</v>
      </c>
      <c r="F325" s="151">
        <v>151801</v>
      </c>
      <c r="G325" s="151"/>
      <c r="H325" s="151"/>
      <c r="I325" s="151">
        <f>29465+táj2!I325</f>
        <v>0</v>
      </c>
      <c r="J325" s="151"/>
      <c r="K325" s="151">
        <f>0+táj2!K325</f>
        <v>29465</v>
      </c>
      <c r="L325" s="151"/>
      <c r="M325" s="151"/>
      <c r="N325" s="151"/>
      <c r="O325" s="151"/>
      <c r="P325" s="151"/>
      <c r="Q325" s="151">
        <f>SUM(G325:P325)</f>
        <v>29465</v>
      </c>
    </row>
    <row r="326" spans="1:17" ht="17.100000000000001" customHeight="1" x14ac:dyDescent="0.25">
      <c r="A326" s="172"/>
      <c r="B326" s="172"/>
      <c r="C326" s="188"/>
      <c r="D326" s="185" t="s">
        <v>573</v>
      </c>
      <c r="E326" s="183">
        <v>1</v>
      </c>
      <c r="F326" s="151">
        <v>151803</v>
      </c>
      <c r="G326" s="151"/>
      <c r="H326" s="151"/>
      <c r="I326" s="151">
        <f>750+táj2!I326</f>
        <v>750</v>
      </c>
      <c r="J326" s="151"/>
      <c r="K326" s="151"/>
      <c r="L326" s="151"/>
      <c r="M326" s="151"/>
      <c r="N326" s="151"/>
      <c r="O326" s="151"/>
      <c r="P326" s="151"/>
      <c r="Q326" s="151">
        <f>SUM(G326:P326)</f>
        <v>750</v>
      </c>
    </row>
    <row r="327" spans="1:17" ht="17.100000000000001" customHeight="1" x14ac:dyDescent="0.25">
      <c r="A327" s="172"/>
      <c r="B327" s="172"/>
      <c r="C327" s="188"/>
      <c r="D327" s="384" t="s">
        <v>574</v>
      </c>
      <c r="E327" s="345">
        <v>1</v>
      </c>
      <c r="F327" s="151">
        <v>151802</v>
      </c>
      <c r="G327" s="151"/>
      <c r="H327" s="151"/>
      <c r="I327" s="151">
        <f>1500+táj2!I327</f>
        <v>1500</v>
      </c>
      <c r="J327" s="151"/>
      <c r="K327" s="151"/>
      <c r="L327" s="151"/>
      <c r="M327" s="151"/>
      <c r="N327" s="151"/>
      <c r="O327" s="151"/>
      <c r="P327" s="151"/>
      <c r="Q327" s="151">
        <f>SUM(G327:P327)</f>
        <v>1500</v>
      </c>
    </row>
    <row r="328" spans="1:17" ht="17.100000000000001" customHeight="1" x14ac:dyDescent="0.25">
      <c r="A328" s="172"/>
      <c r="B328" s="172"/>
      <c r="C328" s="188"/>
      <c r="D328" s="185" t="s">
        <v>575</v>
      </c>
      <c r="E328" s="183"/>
      <c r="F328" s="183"/>
      <c r="G328" s="151"/>
      <c r="H328" s="151"/>
      <c r="I328" s="151"/>
      <c r="J328" s="151"/>
      <c r="K328" s="151"/>
      <c r="L328" s="151"/>
      <c r="M328" s="151"/>
      <c r="N328" s="151"/>
      <c r="O328" s="151"/>
      <c r="P328" s="151"/>
      <c r="Q328" s="151"/>
    </row>
    <row r="329" spans="1:17" ht="17.100000000000001" customHeight="1" x14ac:dyDescent="0.25">
      <c r="A329" s="172"/>
      <c r="B329" s="172"/>
      <c r="C329" s="188"/>
      <c r="D329" s="185" t="s">
        <v>576</v>
      </c>
      <c r="E329" s="151">
        <v>1</v>
      </c>
      <c r="F329" s="151">
        <v>151201</v>
      </c>
      <c r="G329" s="151"/>
      <c r="H329" s="151"/>
      <c r="I329" s="151">
        <f>153696+táj2!I329</f>
        <v>153696</v>
      </c>
      <c r="J329" s="151"/>
      <c r="K329" s="151"/>
      <c r="L329" s="151"/>
      <c r="M329" s="151"/>
      <c r="N329" s="151"/>
      <c r="O329" s="151"/>
      <c r="P329" s="151"/>
      <c r="Q329" s="151">
        <f t="shared" ref="Q329:Q336" si="26">SUM(G329:P329)</f>
        <v>153696</v>
      </c>
    </row>
    <row r="330" spans="1:17" ht="17.100000000000001" customHeight="1" x14ac:dyDescent="0.25">
      <c r="A330" s="172"/>
      <c r="B330" s="172"/>
      <c r="C330" s="188"/>
      <c r="D330" s="185" t="s">
        <v>577</v>
      </c>
      <c r="E330" s="183">
        <v>1</v>
      </c>
      <c r="F330" s="151">
        <v>151204</v>
      </c>
      <c r="G330" s="151"/>
      <c r="H330" s="151"/>
      <c r="I330" s="151">
        <f>2016+táj2!I330</f>
        <v>2016</v>
      </c>
      <c r="J330" s="151"/>
      <c r="K330" s="151"/>
      <c r="L330" s="151"/>
      <c r="M330" s="151"/>
      <c r="N330" s="151"/>
      <c r="O330" s="151"/>
      <c r="P330" s="151"/>
      <c r="Q330" s="151">
        <f t="shared" si="26"/>
        <v>2016</v>
      </c>
    </row>
    <row r="331" spans="1:17" ht="17.100000000000001" customHeight="1" x14ac:dyDescent="0.25">
      <c r="A331" s="172"/>
      <c r="B331" s="172"/>
      <c r="C331" s="188"/>
      <c r="D331" s="185" t="s">
        <v>578</v>
      </c>
      <c r="E331" s="183">
        <v>1</v>
      </c>
      <c r="F331" s="151">
        <v>151202</v>
      </c>
      <c r="G331" s="151"/>
      <c r="H331" s="151"/>
      <c r="I331" s="151">
        <f>25885+táj2!I331</f>
        <v>25885</v>
      </c>
      <c r="J331" s="151"/>
      <c r="K331" s="151"/>
      <c r="L331" s="151"/>
      <c r="M331" s="151"/>
      <c r="N331" s="151"/>
      <c r="O331" s="151"/>
      <c r="P331" s="151"/>
      <c r="Q331" s="151">
        <f t="shared" si="26"/>
        <v>25885</v>
      </c>
    </row>
    <row r="332" spans="1:17" ht="22.95" customHeight="1" x14ac:dyDescent="0.25">
      <c r="A332" s="172"/>
      <c r="B332" s="172"/>
      <c r="C332" s="188"/>
      <c r="D332" s="205" t="s">
        <v>1099</v>
      </c>
      <c r="E332" s="183">
        <v>1</v>
      </c>
      <c r="F332" s="268">
        <v>151208</v>
      </c>
      <c r="G332" s="151"/>
      <c r="H332" s="151"/>
      <c r="I332" s="151">
        <f>5000+táj2!I332</f>
        <v>5000</v>
      </c>
      <c r="J332" s="151"/>
      <c r="K332" s="151"/>
      <c r="L332" s="151"/>
      <c r="M332" s="151"/>
      <c r="N332" s="151"/>
      <c r="O332" s="151"/>
      <c r="P332" s="151"/>
      <c r="Q332" s="151">
        <f t="shared" si="26"/>
        <v>5000</v>
      </c>
    </row>
    <row r="333" spans="1:17" ht="17.100000000000001" customHeight="1" x14ac:dyDescent="0.25">
      <c r="A333" s="172"/>
      <c r="B333" s="172"/>
      <c r="C333" s="188"/>
      <c r="D333" s="185" t="s">
        <v>579</v>
      </c>
      <c r="E333" s="183">
        <v>1</v>
      </c>
      <c r="F333" s="151">
        <v>151205</v>
      </c>
      <c r="G333" s="151"/>
      <c r="H333" s="151"/>
      <c r="I333" s="151">
        <f>1000+táj2!I333</f>
        <v>1000</v>
      </c>
      <c r="J333" s="151"/>
      <c r="K333" s="151"/>
      <c r="L333" s="151"/>
      <c r="M333" s="151"/>
      <c r="N333" s="151"/>
      <c r="O333" s="151"/>
      <c r="P333" s="151"/>
      <c r="Q333" s="151">
        <f t="shared" si="26"/>
        <v>1000</v>
      </c>
    </row>
    <row r="334" spans="1:17" ht="23.25" customHeight="1" x14ac:dyDescent="0.25">
      <c r="A334" s="172"/>
      <c r="B334" s="172"/>
      <c r="C334" s="188"/>
      <c r="D334" s="205" t="s">
        <v>580</v>
      </c>
      <c r="E334" s="183">
        <v>2</v>
      </c>
      <c r="F334" s="151">
        <v>151207</v>
      </c>
      <c r="G334" s="151"/>
      <c r="H334" s="151"/>
      <c r="I334" s="151">
        <f>500+táj2!I334</f>
        <v>500</v>
      </c>
      <c r="J334" s="151"/>
      <c r="K334" s="151"/>
      <c r="L334" s="151"/>
      <c r="M334" s="151"/>
      <c r="N334" s="151"/>
      <c r="O334" s="151"/>
      <c r="P334" s="151"/>
      <c r="Q334" s="151">
        <f t="shared" si="26"/>
        <v>500</v>
      </c>
    </row>
    <row r="335" spans="1:17" ht="14.1" customHeight="1" x14ac:dyDescent="0.25">
      <c r="A335" s="172"/>
      <c r="B335" s="172"/>
      <c r="C335" s="188"/>
      <c r="D335" s="185" t="s">
        <v>581</v>
      </c>
      <c r="E335" s="183">
        <v>1</v>
      </c>
      <c r="F335" s="151">
        <v>151902</v>
      </c>
      <c r="G335" s="151">
        <f>8930+táj2!G335</f>
        <v>8930</v>
      </c>
      <c r="H335" s="151">
        <f>1200+táj2!H335</f>
        <v>1200</v>
      </c>
      <c r="I335" s="151">
        <f>6671+táj2!I335</f>
        <v>6671</v>
      </c>
      <c r="J335" s="151"/>
      <c r="K335" s="151">
        <f>2700+táj2!K335</f>
        <v>2700</v>
      </c>
      <c r="L335" s="151"/>
      <c r="M335" s="151"/>
      <c r="N335" s="151"/>
      <c r="O335" s="151"/>
      <c r="P335" s="151"/>
      <c r="Q335" s="151">
        <f t="shared" si="26"/>
        <v>19501</v>
      </c>
    </row>
    <row r="336" spans="1:17" ht="25.5" customHeight="1" x14ac:dyDescent="0.25">
      <c r="A336" s="172"/>
      <c r="B336" s="172"/>
      <c r="C336" s="188"/>
      <c r="D336" s="205" t="s">
        <v>582</v>
      </c>
      <c r="E336" s="183"/>
      <c r="F336" s="151">
        <v>151925</v>
      </c>
      <c r="G336" s="151"/>
      <c r="H336" s="151"/>
      <c r="I336" s="151">
        <f>3000+táj2!I336</f>
        <v>3000</v>
      </c>
      <c r="J336" s="151"/>
      <c r="K336" s="151"/>
      <c r="L336" s="151"/>
      <c r="M336" s="151"/>
      <c r="N336" s="151"/>
      <c r="O336" s="151"/>
      <c r="P336" s="151"/>
      <c r="Q336" s="151">
        <f t="shared" si="26"/>
        <v>3000</v>
      </c>
    </row>
    <row r="337" spans="1:17" ht="15" customHeight="1" x14ac:dyDescent="0.25">
      <c r="A337" s="172"/>
      <c r="B337" s="172"/>
      <c r="C337" s="188"/>
      <c r="D337" s="193" t="s">
        <v>240</v>
      </c>
      <c r="E337" s="208"/>
      <c r="F337" s="208"/>
      <c r="G337" s="151"/>
      <c r="H337" s="151"/>
      <c r="I337" s="151"/>
      <c r="J337" s="151"/>
      <c r="K337" s="151"/>
      <c r="L337" s="151"/>
      <c r="M337" s="151"/>
      <c r="N337" s="151"/>
      <c r="O337" s="151"/>
      <c r="P337" s="151"/>
      <c r="Q337" s="151"/>
    </row>
    <row r="338" spans="1:17" ht="24.9" customHeight="1" x14ac:dyDescent="0.25">
      <c r="A338" s="172"/>
      <c r="B338" s="172"/>
      <c r="C338" s="188"/>
      <c r="D338" s="193" t="s">
        <v>583</v>
      </c>
      <c r="E338" s="208">
        <v>2</v>
      </c>
      <c r="F338" s="210">
        <v>151910</v>
      </c>
      <c r="G338" s="151"/>
      <c r="H338" s="151"/>
      <c r="I338" s="151">
        <f>176911+táj2!I338</f>
        <v>176911</v>
      </c>
      <c r="J338" s="151"/>
      <c r="K338" s="151"/>
      <c r="L338" s="151"/>
      <c r="M338" s="151"/>
      <c r="N338" s="151"/>
      <c r="O338" s="151"/>
      <c r="P338" s="151"/>
      <c r="Q338" s="151">
        <f>SUM(G338:P338)</f>
        <v>176911</v>
      </c>
    </row>
    <row r="339" spans="1:17" ht="16.5" customHeight="1" x14ac:dyDescent="0.25">
      <c r="A339" s="172"/>
      <c r="B339" s="172"/>
      <c r="C339" s="188"/>
      <c r="D339" s="193" t="s">
        <v>290</v>
      </c>
      <c r="E339" s="208"/>
      <c r="F339" s="208"/>
      <c r="G339" s="151"/>
      <c r="H339" s="151"/>
      <c r="I339" s="151"/>
      <c r="J339" s="151"/>
      <c r="K339" s="151"/>
      <c r="L339" s="151"/>
      <c r="M339" s="151"/>
      <c r="N339" s="151"/>
      <c r="O339" s="151"/>
      <c r="P339" s="151"/>
      <c r="Q339" s="151"/>
    </row>
    <row r="340" spans="1:17" ht="24.9" customHeight="1" x14ac:dyDescent="0.25">
      <c r="A340" s="172"/>
      <c r="B340" s="172"/>
      <c r="C340" s="188"/>
      <c r="D340" s="193" t="s">
        <v>584</v>
      </c>
      <c r="E340" s="208">
        <v>1</v>
      </c>
      <c r="F340" s="210">
        <v>152915</v>
      </c>
      <c r="G340" s="151"/>
      <c r="H340" s="151"/>
      <c r="I340" s="151">
        <f>14000+táj2!I340</f>
        <v>14000</v>
      </c>
      <c r="J340" s="151"/>
      <c r="K340" s="151"/>
      <c r="L340" s="151"/>
      <c r="M340" s="151"/>
      <c r="N340" s="151"/>
      <c r="O340" s="151"/>
      <c r="P340" s="151"/>
      <c r="Q340" s="151">
        <f>SUM(G340:P340)</f>
        <v>14000</v>
      </c>
    </row>
    <row r="341" spans="1:17" ht="17.100000000000001" customHeight="1" x14ac:dyDescent="0.25">
      <c r="A341" s="172"/>
      <c r="B341" s="172"/>
      <c r="C341" s="188"/>
      <c r="D341" s="185" t="s">
        <v>585</v>
      </c>
      <c r="E341" s="771"/>
      <c r="F341" s="183"/>
      <c r="G341" s="151"/>
      <c r="H341" s="151"/>
      <c r="I341" s="151"/>
      <c r="J341" s="151"/>
      <c r="K341" s="151"/>
      <c r="L341" s="151"/>
      <c r="M341" s="151"/>
      <c r="N341" s="151"/>
      <c r="O341" s="151"/>
      <c r="P341" s="151"/>
      <c r="Q341" s="151"/>
    </row>
    <row r="342" spans="1:17" ht="17.100000000000001" customHeight="1" x14ac:dyDescent="0.25">
      <c r="A342" s="172"/>
      <c r="B342" s="172"/>
      <c r="C342" s="188"/>
      <c r="D342" s="185" t="s">
        <v>586</v>
      </c>
      <c r="E342" s="151">
        <v>1</v>
      </c>
      <c r="F342" s="151">
        <v>151704</v>
      </c>
      <c r="G342" s="151"/>
      <c r="H342" s="151"/>
      <c r="I342" s="151"/>
      <c r="J342" s="151"/>
      <c r="K342" s="151">
        <f>300+táj2!K342</f>
        <v>300</v>
      </c>
      <c r="L342" s="151"/>
      <c r="M342" s="151"/>
      <c r="N342" s="151"/>
      <c r="O342" s="151"/>
      <c r="P342" s="268"/>
      <c r="Q342" s="151">
        <f>SUM(G342:P342)</f>
        <v>300</v>
      </c>
    </row>
    <row r="343" spans="1:17" ht="20.25" customHeight="1" x14ac:dyDescent="0.25">
      <c r="A343" s="194"/>
      <c r="B343" s="194"/>
      <c r="C343" s="195"/>
      <c r="D343" s="385" t="s">
        <v>587</v>
      </c>
      <c r="E343" s="197"/>
      <c r="F343" s="198"/>
      <c r="G343" s="198">
        <f t="shared" ref="G343:Q343" si="27">SUM(G234:G342)</f>
        <v>8930</v>
      </c>
      <c r="H343" s="198">
        <f t="shared" si="27"/>
        <v>1200</v>
      </c>
      <c r="I343" s="198">
        <f t="shared" si="27"/>
        <v>1958162</v>
      </c>
      <c r="J343" s="198">
        <f t="shared" si="27"/>
        <v>0</v>
      </c>
      <c r="K343" s="198">
        <f t="shared" si="27"/>
        <v>637320</v>
      </c>
      <c r="L343" s="198">
        <f t="shared" si="27"/>
        <v>0</v>
      </c>
      <c r="M343" s="198">
        <f t="shared" si="27"/>
        <v>0</v>
      </c>
      <c r="N343" s="198">
        <f t="shared" si="27"/>
        <v>0</v>
      </c>
      <c r="O343" s="198">
        <f t="shared" si="27"/>
        <v>0</v>
      </c>
      <c r="P343" s="198">
        <f t="shared" si="27"/>
        <v>0</v>
      </c>
      <c r="Q343" s="198">
        <f t="shared" si="27"/>
        <v>2605612</v>
      </c>
    </row>
    <row r="344" spans="1:17" ht="17.100000000000001" customHeight="1" x14ac:dyDescent="0.25">
      <c r="A344" s="199"/>
      <c r="B344" s="199"/>
      <c r="C344" s="199"/>
      <c r="D344" s="218" t="s">
        <v>352</v>
      </c>
      <c r="E344" s="201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02"/>
    </row>
    <row r="345" spans="1:17" ht="17.25" customHeight="1" x14ac:dyDescent="0.25">
      <c r="A345" s="199"/>
      <c r="B345" s="199"/>
      <c r="C345" s="229" t="s">
        <v>92</v>
      </c>
      <c r="D345" s="386" t="s">
        <v>588</v>
      </c>
      <c r="E345" s="201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02"/>
    </row>
    <row r="346" spans="1:17" ht="21.75" customHeight="1" x14ac:dyDescent="0.25">
      <c r="A346" s="199"/>
      <c r="B346" s="199"/>
      <c r="C346" s="172" t="s">
        <v>353</v>
      </c>
      <c r="D346" s="573" t="s">
        <v>1123</v>
      </c>
      <c r="E346" s="574"/>
      <c r="F346" s="574">
        <v>152133</v>
      </c>
      <c r="G346" s="151"/>
      <c r="H346" s="151"/>
      <c r="I346" s="268">
        <f>2000+táj2!I346</f>
        <v>2000</v>
      </c>
      <c r="J346" s="268"/>
      <c r="K346" s="268"/>
      <c r="L346" s="268"/>
      <c r="M346" s="268"/>
      <c r="N346" s="151"/>
      <c r="O346" s="151"/>
      <c r="P346" s="151"/>
      <c r="Q346" s="151">
        <f t="shared" ref="Q346:Q348" si="28">SUM(G346:P346)</f>
        <v>2000</v>
      </c>
    </row>
    <row r="347" spans="1:17" ht="17.100000000000001" customHeight="1" x14ac:dyDescent="0.25">
      <c r="A347" s="199"/>
      <c r="B347" s="199"/>
      <c r="C347" s="172" t="s">
        <v>589</v>
      </c>
      <c r="D347" s="575" t="s">
        <v>1124</v>
      </c>
      <c r="E347" s="574"/>
      <c r="F347" s="574">
        <v>154134</v>
      </c>
      <c r="G347" s="151"/>
      <c r="H347" s="151"/>
      <c r="I347" s="268"/>
      <c r="J347" s="268"/>
      <c r="K347" s="268"/>
      <c r="L347" s="268"/>
      <c r="M347" s="268">
        <f>1000+táj2!M347</f>
        <v>1000</v>
      </c>
      <c r="N347" s="151"/>
      <c r="O347" s="151"/>
      <c r="P347" s="151"/>
      <c r="Q347" s="151">
        <f t="shared" si="28"/>
        <v>1000</v>
      </c>
    </row>
    <row r="348" spans="1:17" ht="17.100000000000001" customHeight="1" x14ac:dyDescent="0.25">
      <c r="A348" s="641"/>
      <c r="B348" s="641"/>
      <c r="C348" s="639" t="s">
        <v>590</v>
      </c>
      <c r="D348" s="643" t="s">
        <v>1242</v>
      </c>
      <c r="E348" s="640"/>
      <c r="F348" s="653">
        <v>152118</v>
      </c>
      <c r="G348" s="638"/>
      <c r="H348" s="638"/>
      <c r="I348" s="644"/>
      <c r="J348" s="644"/>
      <c r="K348" s="644"/>
      <c r="L348" s="268">
        <f>1000+táj2!L348</f>
        <v>1000</v>
      </c>
      <c r="M348" s="268"/>
      <c r="N348" s="638"/>
      <c r="O348" s="638"/>
      <c r="P348" s="638"/>
      <c r="Q348" s="151">
        <f t="shared" si="28"/>
        <v>1000</v>
      </c>
    </row>
    <row r="349" spans="1:17" ht="17.100000000000001" customHeight="1" x14ac:dyDescent="0.25">
      <c r="A349" s="199"/>
      <c r="B349" s="199"/>
      <c r="C349" s="646"/>
      <c r="D349" s="186" t="s">
        <v>1026</v>
      </c>
      <c r="E349" s="201"/>
      <c r="F349" s="201"/>
      <c r="G349" s="151"/>
      <c r="H349" s="151"/>
      <c r="I349" s="151"/>
      <c r="J349" s="151"/>
      <c r="K349" s="151"/>
      <c r="L349" s="268"/>
      <c r="M349" s="268"/>
      <c r="N349" s="151"/>
      <c r="O349" s="151"/>
      <c r="P349" s="151"/>
      <c r="Q349" s="151"/>
    </row>
    <row r="350" spans="1:17" ht="17.100000000000001" customHeight="1" x14ac:dyDescent="0.25">
      <c r="A350" s="199"/>
      <c r="B350" s="229"/>
      <c r="C350" s="645" t="s">
        <v>355</v>
      </c>
      <c r="D350" s="277" t="s">
        <v>899</v>
      </c>
      <c r="E350" s="200"/>
      <c r="F350" s="200">
        <v>154103</v>
      </c>
      <c r="G350" s="151"/>
      <c r="H350" s="151"/>
      <c r="I350" s="151"/>
      <c r="J350" s="151"/>
      <c r="K350" s="151"/>
      <c r="L350" s="268"/>
      <c r="M350" s="268">
        <f>12827+táj2!M350</f>
        <v>12827</v>
      </c>
      <c r="N350" s="151"/>
      <c r="O350" s="151"/>
      <c r="P350" s="151"/>
      <c r="Q350" s="151">
        <f>SUM(G350:P350)</f>
        <v>12827</v>
      </c>
    </row>
    <row r="351" spans="1:17" ht="17.100000000000001" customHeight="1" x14ac:dyDescent="0.25">
      <c r="A351" s="199"/>
      <c r="B351" s="229"/>
      <c r="C351" s="387" t="s">
        <v>593</v>
      </c>
      <c r="D351" s="374" t="s">
        <v>594</v>
      </c>
      <c r="E351" s="201"/>
      <c r="F351" s="200">
        <v>152129</v>
      </c>
      <c r="G351" s="151"/>
      <c r="H351" s="151"/>
      <c r="I351" s="151"/>
      <c r="J351" s="151"/>
      <c r="K351" s="151"/>
      <c r="L351" s="268">
        <f>9215+táj2!L351</f>
        <v>9215</v>
      </c>
      <c r="M351" s="268"/>
      <c r="N351" s="151"/>
      <c r="O351" s="151"/>
      <c r="P351" s="151"/>
      <c r="Q351" s="151">
        <f>SUM(G351:P351)</f>
        <v>9215</v>
      </c>
    </row>
    <row r="352" spans="1:17" ht="26.25" customHeight="1" x14ac:dyDescent="0.25">
      <c r="A352" s="199"/>
      <c r="B352" s="229"/>
      <c r="C352" s="387" t="s">
        <v>595</v>
      </c>
      <c r="D352" s="668" t="s">
        <v>596</v>
      </c>
      <c r="E352" s="200"/>
      <c r="F352" s="200">
        <v>152122</v>
      </c>
      <c r="G352" s="151"/>
      <c r="H352" s="151"/>
      <c r="I352" s="151"/>
      <c r="J352" s="151"/>
      <c r="K352" s="151"/>
      <c r="L352" s="268">
        <f>5385+táj2!L352</f>
        <v>5385</v>
      </c>
      <c r="M352" s="268"/>
      <c r="N352" s="151"/>
      <c r="O352" s="151"/>
      <c r="P352" s="151"/>
      <c r="Q352" s="151">
        <f>SUM(G352:P352)</f>
        <v>5385</v>
      </c>
    </row>
    <row r="353" spans="1:17" ht="17.100000000000001" customHeight="1" x14ac:dyDescent="0.25">
      <c r="A353" s="199"/>
      <c r="B353" s="199"/>
      <c r="C353" s="387" t="s">
        <v>597</v>
      </c>
      <c r="D353" s="388" t="s">
        <v>598</v>
      </c>
      <c r="E353" s="201"/>
      <c r="F353" s="200">
        <v>154128</v>
      </c>
      <c r="G353" s="151"/>
      <c r="H353" s="151"/>
      <c r="I353" s="151"/>
      <c r="J353" s="151"/>
      <c r="K353" s="151"/>
      <c r="L353" s="268"/>
      <c r="M353" s="268">
        <f>537+táj2!M353</f>
        <v>537</v>
      </c>
      <c r="N353" s="151"/>
      <c r="O353" s="151"/>
      <c r="P353" s="151"/>
      <c r="Q353" s="151">
        <f>SUM(G353:P353)</f>
        <v>537</v>
      </c>
    </row>
    <row r="354" spans="1:17" ht="17.100000000000001" customHeight="1" x14ac:dyDescent="0.25">
      <c r="A354" s="199"/>
      <c r="B354" s="199"/>
      <c r="C354" s="387" t="s">
        <v>1040</v>
      </c>
      <c r="D354" s="348" t="s">
        <v>591</v>
      </c>
      <c r="E354" s="200"/>
      <c r="F354" s="200">
        <v>152112</v>
      </c>
      <c r="G354" s="151"/>
      <c r="H354" s="151"/>
      <c r="I354" s="151"/>
      <c r="J354" s="151"/>
      <c r="K354" s="151"/>
      <c r="L354" s="268">
        <f>10795+táj2!L354</f>
        <v>10795</v>
      </c>
      <c r="M354" s="268"/>
      <c r="N354" s="151"/>
      <c r="O354" s="151"/>
      <c r="P354" s="151"/>
      <c r="Q354" s="151">
        <f>SUM(G354:P354)</f>
        <v>10795</v>
      </c>
    </row>
    <row r="355" spans="1:17" ht="17.100000000000001" customHeight="1" x14ac:dyDescent="0.25">
      <c r="A355" s="199"/>
      <c r="B355" s="199"/>
      <c r="C355" s="230" t="s">
        <v>91</v>
      </c>
      <c r="D355" s="389" t="s">
        <v>599</v>
      </c>
      <c r="E355" s="201"/>
      <c r="F355" s="200"/>
      <c r="G355" s="151"/>
      <c r="H355" s="151"/>
      <c r="I355" s="151"/>
      <c r="J355" s="151"/>
      <c r="K355" s="151"/>
      <c r="L355" s="268"/>
      <c r="M355" s="268"/>
      <c r="N355" s="151"/>
      <c r="O355" s="151"/>
      <c r="P355" s="151"/>
      <c r="Q355" s="151"/>
    </row>
    <row r="356" spans="1:17" ht="17.100000000000001" customHeight="1" x14ac:dyDescent="0.25">
      <c r="A356" s="199"/>
      <c r="B356" s="199"/>
      <c r="C356" s="230" t="s">
        <v>93</v>
      </c>
      <c r="D356" s="390" t="s">
        <v>600</v>
      </c>
      <c r="E356" s="201"/>
      <c r="F356" s="201"/>
      <c r="G356" s="151"/>
      <c r="H356" s="151"/>
      <c r="I356" s="151"/>
      <c r="J356" s="151"/>
      <c r="K356" s="151"/>
      <c r="L356" s="268"/>
      <c r="M356" s="268"/>
      <c r="N356" s="151"/>
      <c r="O356" s="151"/>
      <c r="P356" s="151"/>
      <c r="Q356" s="151"/>
    </row>
    <row r="357" spans="1:17" ht="17.100000000000001" customHeight="1" x14ac:dyDescent="0.25">
      <c r="A357" s="199"/>
      <c r="B357" s="199"/>
      <c r="C357" s="231" t="s">
        <v>477</v>
      </c>
      <c r="D357" s="603" t="s">
        <v>1125</v>
      </c>
      <c r="E357" s="200"/>
      <c r="F357" s="555">
        <v>152312</v>
      </c>
      <c r="G357" s="151"/>
      <c r="H357" s="151"/>
      <c r="I357" s="151"/>
      <c r="J357" s="151"/>
      <c r="K357" s="151"/>
      <c r="L357" s="268">
        <f>200+táj2!L357</f>
        <v>1092</v>
      </c>
      <c r="M357" s="268"/>
      <c r="N357" s="151"/>
      <c r="O357" s="151"/>
      <c r="P357" s="151"/>
      <c r="Q357" s="151">
        <f t="shared" ref="Q357:Q359" si="29">SUM(G357:P357)</f>
        <v>1092</v>
      </c>
    </row>
    <row r="358" spans="1:17" ht="25.5" customHeight="1" x14ac:dyDescent="0.25">
      <c r="A358" s="199"/>
      <c r="B358" s="199"/>
      <c r="C358" s="231" t="s">
        <v>478</v>
      </c>
      <c r="D358" s="603" t="s">
        <v>1126</v>
      </c>
      <c r="E358" s="201"/>
      <c r="F358" s="555">
        <v>152313</v>
      </c>
      <c r="G358" s="151"/>
      <c r="H358" s="151"/>
      <c r="I358" s="151"/>
      <c r="J358" s="151"/>
      <c r="K358" s="151"/>
      <c r="L358" s="268">
        <f>1000+táj2!L358</f>
        <v>1086</v>
      </c>
      <c r="M358" s="268"/>
      <c r="N358" s="151"/>
      <c r="O358" s="151"/>
      <c r="P358" s="151"/>
      <c r="Q358" s="151">
        <f t="shared" si="29"/>
        <v>1086</v>
      </c>
    </row>
    <row r="359" spans="1:17" ht="14.25" customHeight="1" x14ac:dyDescent="0.25">
      <c r="A359" s="199"/>
      <c r="B359" s="199"/>
      <c r="C359" s="231" t="s">
        <v>601</v>
      </c>
      <c r="D359" s="575" t="s">
        <v>1127</v>
      </c>
      <c r="E359" s="200"/>
      <c r="F359" s="555">
        <v>152314</v>
      </c>
      <c r="G359" s="151"/>
      <c r="H359" s="151"/>
      <c r="I359" s="151"/>
      <c r="J359" s="151"/>
      <c r="K359" s="151"/>
      <c r="L359" s="268">
        <f>2000+táj2!L359</f>
        <v>2000</v>
      </c>
      <c r="M359" s="268"/>
      <c r="N359" s="151"/>
      <c r="O359" s="151"/>
      <c r="P359" s="151"/>
      <c r="Q359" s="151">
        <f t="shared" si="29"/>
        <v>2000</v>
      </c>
    </row>
    <row r="360" spans="1:17" ht="14.25" customHeight="1" x14ac:dyDescent="0.25">
      <c r="A360" s="199"/>
      <c r="B360" s="199"/>
      <c r="C360" s="231" t="s">
        <v>1003</v>
      </c>
      <c r="D360" s="575" t="s">
        <v>1128</v>
      </c>
      <c r="E360" s="286"/>
      <c r="F360" s="268">
        <v>152351</v>
      </c>
      <c r="G360" s="151"/>
      <c r="H360" s="151"/>
      <c r="I360" s="151"/>
      <c r="J360" s="151"/>
      <c r="K360" s="151"/>
      <c r="L360" s="268">
        <f>500+táj2!L360</f>
        <v>500</v>
      </c>
      <c r="M360" s="268"/>
      <c r="N360" s="151"/>
      <c r="O360" s="151"/>
      <c r="P360" s="151"/>
      <c r="Q360" s="151">
        <f>SUM(G360:P360)</f>
        <v>500</v>
      </c>
    </row>
    <row r="361" spans="1:17" ht="17.100000000000001" customHeight="1" x14ac:dyDescent="0.25">
      <c r="A361" s="199"/>
      <c r="B361" s="199"/>
      <c r="C361" s="391"/>
      <c r="D361" s="186" t="s">
        <v>1026</v>
      </c>
      <c r="E361" s="201"/>
      <c r="F361" s="200"/>
      <c r="G361" s="151"/>
      <c r="H361" s="151"/>
      <c r="I361" s="151"/>
      <c r="J361" s="151"/>
      <c r="K361" s="151"/>
      <c r="L361" s="268"/>
      <c r="M361" s="268"/>
      <c r="N361" s="151"/>
      <c r="O361" s="151"/>
      <c r="P361" s="151"/>
      <c r="Q361" s="151"/>
    </row>
    <row r="362" spans="1:17" ht="17.100000000000001" customHeight="1" x14ac:dyDescent="0.25">
      <c r="A362" s="199"/>
      <c r="B362" s="199"/>
      <c r="C362" s="232" t="s">
        <v>602</v>
      </c>
      <c r="D362" s="392" t="s">
        <v>603</v>
      </c>
      <c r="E362" s="201"/>
      <c r="F362" s="200">
        <v>152301</v>
      </c>
      <c r="G362" s="151"/>
      <c r="H362" s="151"/>
      <c r="I362" s="151"/>
      <c r="J362" s="151"/>
      <c r="K362" s="151"/>
      <c r="L362" s="268">
        <f>17339+táj2!L362</f>
        <v>16361</v>
      </c>
      <c r="M362" s="268"/>
      <c r="N362" s="151"/>
      <c r="O362" s="151"/>
      <c r="P362" s="151"/>
      <c r="Q362" s="151">
        <f>SUM(G362:P362)</f>
        <v>16361</v>
      </c>
    </row>
    <row r="363" spans="1:17" ht="17.100000000000001" customHeight="1" x14ac:dyDescent="0.25">
      <c r="A363" s="199"/>
      <c r="B363" s="199"/>
      <c r="C363" s="232" t="s">
        <v>1041</v>
      </c>
      <c r="D363" s="807" t="s">
        <v>900</v>
      </c>
      <c r="E363" s="200"/>
      <c r="F363" s="200">
        <v>152309</v>
      </c>
      <c r="G363" s="151"/>
      <c r="H363" s="151"/>
      <c r="I363" s="151"/>
      <c r="J363" s="151"/>
      <c r="K363" s="151"/>
      <c r="L363" s="268">
        <f>2501+táj2!L363</f>
        <v>2501</v>
      </c>
      <c r="M363" s="268"/>
      <c r="N363" s="151"/>
      <c r="O363" s="151"/>
      <c r="P363" s="151"/>
      <c r="Q363" s="151">
        <f t="shared" ref="Q363:Q365" si="30">SUM(G363:P363)</f>
        <v>2501</v>
      </c>
    </row>
    <row r="364" spans="1:17" ht="17.100000000000001" customHeight="1" x14ac:dyDescent="0.25">
      <c r="A364" s="199"/>
      <c r="B364" s="199"/>
      <c r="C364" s="232" t="s">
        <v>1042</v>
      </c>
      <c r="D364" s="766" t="s">
        <v>926</v>
      </c>
      <c r="E364" s="286"/>
      <c r="F364" s="151">
        <v>152311</v>
      </c>
      <c r="G364" s="151"/>
      <c r="H364" s="151"/>
      <c r="I364" s="151"/>
      <c r="J364" s="151"/>
      <c r="K364" s="151"/>
      <c r="L364" s="268">
        <f>2000+táj2!L364</f>
        <v>2000</v>
      </c>
      <c r="M364" s="268"/>
      <c r="N364" s="151"/>
      <c r="O364" s="151"/>
      <c r="P364" s="151"/>
      <c r="Q364" s="151">
        <f t="shared" si="30"/>
        <v>2000</v>
      </c>
    </row>
    <row r="365" spans="1:17" ht="17.100000000000001" customHeight="1" x14ac:dyDescent="0.25">
      <c r="A365" s="199"/>
      <c r="B365" s="199"/>
      <c r="C365" s="232" t="s">
        <v>1043</v>
      </c>
      <c r="D365" s="397" t="s">
        <v>1044</v>
      </c>
      <c r="E365" s="200"/>
      <c r="F365" s="200">
        <v>154302</v>
      </c>
      <c r="G365" s="151"/>
      <c r="H365" s="151"/>
      <c r="I365" s="151"/>
      <c r="J365" s="151"/>
      <c r="K365" s="151"/>
      <c r="L365" s="268"/>
      <c r="M365" s="268">
        <f>10000+táj2!M365</f>
        <v>10000</v>
      </c>
      <c r="N365" s="151"/>
      <c r="O365" s="151"/>
      <c r="P365" s="151"/>
      <c r="Q365" s="151">
        <f t="shared" si="30"/>
        <v>10000</v>
      </c>
    </row>
    <row r="366" spans="1:17" ht="17.100000000000001" customHeight="1" x14ac:dyDescent="0.25">
      <c r="A366" s="199"/>
      <c r="B366" s="199"/>
      <c r="C366" s="391" t="s">
        <v>94</v>
      </c>
      <c r="D366" s="516" t="s">
        <v>604</v>
      </c>
      <c r="E366" s="200"/>
      <c r="F366" s="200"/>
      <c r="G366" s="151"/>
      <c r="H366" s="151"/>
      <c r="I366" s="151"/>
      <c r="J366" s="151"/>
      <c r="K366" s="151"/>
      <c r="L366" s="268"/>
      <c r="M366" s="268"/>
      <c r="N366" s="151"/>
      <c r="O366" s="151"/>
      <c r="P366" s="151"/>
      <c r="Q366" s="151"/>
    </row>
    <row r="367" spans="1:17" ht="25.5" customHeight="1" x14ac:dyDescent="0.25">
      <c r="A367" s="199"/>
      <c r="B367" s="199"/>
      <c r="C367" s="231" t="s">
        <v>605</v>
      </c>
      <c r="D367" s="797" t="s">
        <v>1104</v>
      </c>
      <c r="E367" s="640"/>
      <c r="F367" s="200">
        <v>155470</v>
      </c>
      <c r="G367" s="151"/>
      <c r="H367" s="151"/>
      <c r="I367" s="268">
        <f>1402+táj2!I367</f>
        <v>1402</v>
      </c>
      <c r="J367" s="268"/>
      <c r="K367" s="268"/>
      <c r="L367" s="268"/>
      <c r="M367" s="268">
        <f>14983+táj2!M367</f>
        <v>11983</v>
      </c>
      <c r="N367" s="151"/>
      <c r="O367" s="151"/>
      <c r="P367" s="151"/>
      <c r="Q367" s="151">
        <f t="shared" ref="Q367:Q410" si="31">SUM(G367:P367)</f>
        <v>13385</v>
      </c>
    </row>
    <row r="368" spans="1:17" ht="17.100000000000001" customHeight="1" x14ac:dyDescent="0.25">
      <c r="A368" s="199"/>
      <c r="B368" s="199"/>
      <c r="C368" s="231" t="s">
        <v>606</v>
      </c>
      <c r="D368" s="573" t="s">
        <v>1130</v>
      </c>
      <c r="E368" s="640"/>
      <c r="F368" s="555">
        <v>154410</v>
      </c>
      <c r="G368" s="151"/>
      <c r="H368" s="151"/>
      <c r="I368" s="151"/>
      <c r="J368" s="151"/>
      <c r="K368" s="151"/>
      <c r="L368" s="268"/>
      <c r="M368" s="268">
        <f>10000+táj2!M368</f>
        <v>9173</v>
      </c>
      <c r="N368" s="151"/>
      <c r="O368" s="151"/>
      <c r="P368" s="151"/>
      <c r="Q368" s="151">
        <f t="shared" si="31"/>
        <v>9173</v>
      </c>
    </row>
    <row r="369" spans="1:17" ht="17.100000000000001" customHeight="1" x14ac:dyDescent="0.25">
      <c r="A369" s="576"/>
      <c r="B369" s="576"/>
      <c r="C369" s="231" t="s">
        <v>607</v>
      </c>
      <c r="D369" s="603" t="s">
        <v>1143</v>
      </c>
      <c r="E369" s="640"/>
      <c r="F369" s="585">
        <v>154413</v>
      </c>
      <c r="G369" s="510"/>
      <c r="H369" s="510"/>
      <c r="I369" s="510"/>
      <c r="J369" s="510"/>
      <c r="K369" s="510"/>
      <c r="L369" s="268"/>
      <c r="M369" s="268">
        <f>4500+táj2!M369</f>
        <v>4500</v>
      </c>
      <c r="N369" s="510"/>
      <c r="O369" s="510"/>
      <c r="P369" s="510"/>
      <c r="Q369" s="151">
        <f t="shared" si="31"/>
        <v>4500</v>
      </c>
    </row>
    <row r="370" spans="1:17" ht="17.100000000000001" customHeight="1" x14ac:dyDescent="0.25">
      <c r="A370" s="576"/>
      <c r="B370" s="576"/>
      <c r="C370" s="231" t="s">
        <v>608</v>
      </c>
      <c r="D370" s="603" t="s">
        <v>1144</v>
      </c>
      <c r="E370" s="640"/>
      <c r="F370" s="585">
        <v>154417</v>
      </c>
      <c r="G370" s="510"/>
      <c r="H370" s="510"/>
      <c r="I370" s="510"/>
      <c r="J370" s="510"/>
      <c r="K370" s="510"/>
      <c r="L370" s="268"/>
      <c r="M370" s="268">
        <f>1000+táj2!M370</f>
        <v>1000</v>
      </c>
      <c r="N370" s="510"/>
      <c r="O370" s="510"/>
      <c r="P370" s="510"/>
      <c r="Q370" s="151">
        <f t="shared" si="31"/>
        <v>1000</v>
      </c>
    </row>
    <row r="371" spans="1:17" ht="17.100000000000001" customHeight="1" x14ac:dyDescent="0.25">
      <c r="A371" s="576"/>
      <c r="B371" s="576"/>
      <c r="C371" s="231" t="s">
        <v>609</v>
      </c>
      <c r="D371" s="603" t="s">
        <v>1145</v>
      </c>
      <c r="E371" s="640"/>
      <c r="F371" s="585">
        <v>155484</v>
      </c>
      <c r="G371" s="510"/>
      <c r="H371" s="510"/>
      <c r="I371" s="510"/>
      <c r="J371" s="510"/>
      <c r="K371" s="510"/>
      <c r="L371" s="268"/>
      <c r="M371" s="268">
        <f>5000+táj2!M371</f>
        <v>5000</v>
      </c>
      <c r="N371" s="510"/>
      <c r="O371" s="510"/>
      <c r="P371" s="510"/>
      <c r="Q371" s="151">
        <f t="shared" si="31"/>
        <v>5000</v>
      </c>
    </row>
    <row r="372" spans="1:17" ht="17.100000000000001" customHeight="1" x14ac:dyDescent="0.25">
      <c r="A372" s="576"/>
      <c r="B372" s="576"/>
      <c r="C372" s="231" t="s">
        <v>610</v>
      </c>
      <c r="D372" s="604" t="s">
        <v>1157</v>
      </c>
      <c r="E372" s="640"/>
      <c r="F372" s="585">
        <v>154418</v>
      </c>
      <c r="G372" s="510"/>
      <c r="H372" s="510"/>
      <c r="I372" s="510"/>
      <c r="J372" s="510"/>
      <c r="K372" s="510"/>
      <c r="L372" s="268"/>
      <c r="M372" s="268">
        <f>4000+táj2!M372</f>
        <v>4000</v>
      </c>
      <c r="N372" s="510"/>
      <c r="O372" s="510"/>
      <c r="P372" s="510"/>
      <c r="Q372" s="151">
        <f t="shared" si="31"/>
        <v>4000</v>
      </c>
    </row>
    <row r="373" spans="1:17" ht="17.100000000000001" customHeight="1" x14ac:dyDescent="0.25">
      <c r="A373" s="576"/>
      <c r="B373" s="576"/>
      <c r="C373" s="231" t="s">
        <v>611</v>
      </c>
      <c r="D373" s="604" t="s">
        <v>1146</v>
      </c>
      <c r="E373" s="640"/>
      <c r="F373" s="585">
        <v>154419</v>
      </c>
      <c r="G373" s="510"/>
      <c r="H373" s="510"/>
      <c r="I373" s="510"/>
      <c r="J373" s="510"/>
      <c r="K373" s="510"/>
      <c r="L373" s="268"/>
      <c r="M373" s="268">
        <f>8000+táj2!M373</f>
        <v>8000</v>
      </c>
      <c r="N373" s="510"/>
      <c r="O373" s="510"/>
      <c r="P373" s="510"/>
      <c r="Q373" s="151">
        <f t="shared" si="31"/>
        <v>8000</v>
      </c>
    </row>
    <row r="374" spans="1:17" ht="17.100000000000001" customHeight="1" x14ac:dyDescent="0.25">
      <c r="A374" s="576"/>
      <c r="B374" s="576"/>
      <c r="C374" s="231" t="s">
        <v>612</v>
      </c>
      <c r="D374" s="604" t="s">
        <v>1147</v>
      </c>
      <c r="E374" s="640"/>
      <c r="F374" s="585">
        <v>154420</v>
      </c>
      <c r="G374" s="510"/>
      <c r="H374" s="510"/>
      <c r="I374" s="510"/>
      <c r="J374" s="510"/>
      <c r="K374" s="510"/>
      <c r="L374" s="268"/>
      <c r="M374" s="268">
        <f>3500+táj2!M374</f>
        <v>3500</v>
      </c>
      <c r="N374" s="510"/>
      <c r="O374" s="510"/>
      <c r="P374" s="510"/>
      <c r="Q374" s="151">
        <f t="shared" si="31"/>
        <v>3500</v>
      </c>
    </row>
    <row r="375" spans="1:17" ht="17.100000000000001" customHeight="1" x14ac:dyDescent="0.25">
      <c r="A375" s="576"/>
      <c r="B375" s="576"/>
      <c r="C375" s="231" t="s">
        <v>614</v>
      </c>
      <c r="D375" s="604" t="s">
        <v>1148</v>
      </c>
      <c r="E375" s="640"/>
      <c r="F375" s="585">
        <v>154424</v>
      </c>
      <c r="G375" s="510"/>
      <c r="H375" s="510"/>
      <c r="I375" s="510"/>
      <c r="J375" s="510"/>
      <c r="K375" s="510"/>
      <c r="L375" s="268"/>
      <c r="M375" s="268">
        <f>1500+táj2!M375</f>
        <v>1500</v>
      </c>
      <c r="N375" s="510"/>
      <c r="O375" s="510"/>
      <c r="P375" s="510"/>
      <c r="Q375" s="151">
        <f t="shared" si="31"/>
        <v>1500</v>
      </c>
    </row>
    <row r="376" spans="1:17" ht="17.100000000000001" customHeight="1" x14ac:dyDescent="0.25">
      <c r="A376" s="576"/>
      <c r="B376" s="576"/>
      <c r="C376" s="231" t="s">
        <v>615</v>
      </c>
      <c r="D376" s="604" t="s">
        <v>1149</v>
      </c>
      <c r="E376" s="640"/>
      <c r="F376" s="585">
        <v>154426</v>
      </c>
      <c r="G376" s="510"/>
      <c r="H376" s="510"/>
      <c r="I376" s="510"/>
      <c r="J376" s="510"/>
      <c r="K376" s="510"/>
      <c r="L376" s="268"/>
      <c r="M376" s="268">
        <f>3000+táj2!M376</f>
        <v>3000</v>
      </c>
      <c r="N376" s="510"/>
      <c r="O376" s="510"/>
      <c r="P376" s="510"/>
      <c r="Q376" s="151">
        <f t="shared" si="31"/>
        <v>3000</v>
      </c>
    </row>
    <row r="377" spans="1:17" ht="17.100000000000001" customHeight="1" x14ac:dyDescent="0.25">
      <c r="A377" s="576"/>
      <c r="B377" s="576"/>
      <c r="C377" s="231" t="s">
        <v>616</v>
      </c>
      <c r="D377" s="604" t="s">
        <v>1150</v>
      </c>
      <c r="E377" s="640"/>
      <c r="F377" s="585">
        <v>155494</v>
      </c>
      <c r="G377" s="510"/>
      <c r="H377" s="510"/>
      <c r="I377" s="510"/>
      <c r="J377" s="510"/>
      <c r="K377" s="510"/>
      <c r="L377" s="268"/>
      <c r="M377" s="268">
        <f>6000+táj2!M377</f>
        <v>6000</v>
      </c>
      <c r="N377" s="510"/>
      <c r="O377" s="510"/>
      <c r="P377" s="510"/>
      <c r="Q377" s="151">
        <f t="shared" si="31"/>
        <v>6000</v>
      </c>
    </row>
    <row r="378" spans="1:17" ht="17.100000000000001" customHeight="1" x14ac:dyDescent="0.25">
      <c r="A378" s="576"/>
      <c r="B378" s="576"/>
      <c r="C378" s="231" t="s">
        <v>617</v>
      </c>
      <c r="D378" s="793" t="s">
        <v>1151</v>
      </c>
      <c r="E378" s="640"/>
      <c r="F378" s="585">
        <v>154428</v>
      </c>
      <c r="G378" s="510"/>
      <c r="H378" s="510"/>
      <c r="I378" s="510"/>
      <c r="J378" s="510"/>
      <c r="K378" s="510"/>
      <c r="L378" s="268"/>
      <c r="M378" s="268">
        <f>1000+táj2!M378</f>
        <v>1000</v>
      </c>
      <c r="N378" s="510"/>
      <c r="O378" s="510"/>
      <c r="P378" s="510"/>
      <c r="Q378" s="151">
        <f t="shared" si="31"/>
        <v>1000</v>
      </c>
    </row>
    <row r="379" spans="1:17" ht="17.100000000000001" customHeight="1" x14ac:dyDescent="0.25">
      <c r="A379" s="576"/>
      <c r="B379" s="576"/>
      <c r="C379" s="231" t="s">
        <v>618</v>
      </c>
      <c r="D379" s="604" t="s">
        <v>1152</v>
      </c>
      <c r="E379" s="640"/>
      <c r="F379" s="585">
        <v>152439</v>
      </c>
      <c r="G379" s="510"/>
      <c r="H379" s="510"/>
      <c r="I379" s="510"/>
      <c r="J379" s="510"/>
      <c r="K379" s="510"/>
      <c r="L379" s="268">
        <f>2000+táj2!L379</f>
        <v>2000</v>
      </c>
      <c r="M379" s="268"/>
      <c r="N379" s="510"/>
      <c r="O379" s="510"/>
      <c r="P379" s="510"/>
      <c r="Q379" s="151">
        <f t="shared" si="31"/>
        <v>2000</v>
      </c>
    </row>
    <row r="380" spans="1:17" ht="17.100000000000001" customHeight="1" x14ac:dyDescent="0.25">
      <c r="A380" s="576"/>
      <c r="B380" s="576"/>
      <c r="C380" s="231" t="s">
        <v>619</v>
      </c>
      <c r="D380" s="604" t="s">
        <v>1153</v>
      </c>
      <c r="E380" s="640"/>
      <c r="F380" s="585">
        <v>154431</v>
      </c>
      <c r="G380" s="510"/>
      <c r="H380" s="510"/>
      <c r="I380" s="510"/>
      <c r="J380" s="510"/>
      <c r="K380" s="510"/>
      <c r="L380" s="268"/>
      <c r="M380" s="268">
        <f>4500+táj2!M380</f>
        <v>4500</v>
      </c>
      <c r="N380" s="510"/>
      <c r="O380" s="510"/>
      <c r="P380" s="510"/>
      <c r="Q380" s="151">
        <f t="shared" si="31"/>
        <v>4500</v>
      </c>
    </row>
    <row r="381" spans="1:17" ht="17.100000000000001" customHeight="1" x14ac:dyDescent="0.25">
      <c r="A381" s="576"/>
      <c r="B381" s="576"/>
      <c r="C381" s="231" t="s">
        <v>620</v>
      </c>
      <c r="D381" s="793" t="s">
        <v>1154</v>
      </c>
      <c r="E381" s="640"/>
      <c r="F381" s="585">
        <v>154436</v>
      </c>
      <c r="G381" s="510"/>
      <c r="H381" s="510"/>
      <c r="I381" s="510"/>
      <c r="J381" s="510"/>
      <c r="K381" s="510"/>
      <c r="L381" s="268"/>
      <c r="M381" s="268">
        <f>2000+táj2!M381</f>
        <v>2006</v>
      </c>
      <c r="N381" s="510"/>
      <c r="O381" s="510"/>
      <c r="P381" s="510"/>
      <c r="Q381" s="151">
        <f t="shared" si="31"/>
        <v>2006</v>
      </c>
    </row>
    <row r="382" spans="1:17" ht="17.100000000000001" customHeight="1" x14ac:dyDescent="0.25">
      <c r="A382" s="576"/>
      <c r="B382" s="576"/>
      <c r="C382" s="231" t="s">
        <v>621</v>
      </c>
      <c r="D382" s="793" t="s">
        <v>1155</v>
      </c>
      <c r="E382" s="640"/>
      <c r="F382" s="585">
        <v>152438</v>
      </c>
      <c r="G382" s="510"/>
      <c r="H382" s="510"/>
      <c r="I382" s="510"/>
      <c r="J382" s="510"/>
      <c r="K382" s="510"/>
      <c r="L382" s="268">
        <f>6000+táj2!L382</f>
        <v>6000</v>
      </c>
      <c r="M382" s="268"/>
      <c r="N382" s="510"/>
      <c r="O382" s="510"/>
      <c r="P382" s="510"/>
      <c r="Q382" s="151">
        <f t="shared" si="31"/>
        <v>6000</v>
      </c>
    </row>
    <row r="383" spans="1:17" ht="17.100000000000001" customHeight="1" x14ac:dyDescent="0.25">
      <c r="A383" s="576"/>
      <c r="B383" s="576"/>
      <c r="C383" s="231" t="s">
        <v>622</v>
      </c>
      <c r="D383" s="604" t="s">
        <v>1156</v>
      </c>
      <c r="E383" s="640"/>
      <c r="F383" s="585">
        <v>154437</v>
      </c>
      <c r="G383" s="510"/>
      <c r="H383" s="510"/>
      <c r="I383" s="510"/>
      <c r="J383" s="510"/>
      <c r="K383" s="510"/>
      <c r="L383" s="268"/>
      <c r="M383" s="268">
        <f>7000+táj2!M383</f>
        <v>7000</v>
      </c>
      <c r="N383" s="510"/>
      <c r="O383" s="510"/>
      <c r="P383" s="510"/>
      <c r="Q383" s="151">
        <f t="shared" si="31"/>
        <v>7000</v>
      </c>
    </row>
    <row r="384" spans="1:17" ht="17.100000000000001" customHeight="1" x14ac:dyDescent="0.25">
      <c r="A384" s="576"/>
      <c r="B384" s="576"/>
      <c r="C384" s="231" t="s">
        <v>623</v>
      </c>
      <c r="D384" s="578" t="s">
        <v>1158</v>
      </c>
      <c r="E384" s="574"/>
      <c r="F384" s="585">
        <v>152414</v>
      </c>
      <c r="G384" s="510"/>
      <c r="H384" s="510"/>
      <c r="I384" s="510"/>
      <c r="J384" s="510"/>
      <c r="K384" s="510"/>
      <c r="L384" s="268">
        <f>2500+táj2!L384</f>
        <v>0</v>
      </c>
      <c r="M384" s="268">
        <f>2500+táj2!M384</f>
        <v>0</v>
      </c>
      <c r="N384" s="510"/>
      <c r="O384" s="510"/>
      <c r="P384" s="510"/>
      <c r="Q384" s="151">
        <f t="shared" si="31"/>
        <v>0</v>
      </c>
    </row>
    <row r="385" spans="1:17" ht="17.100000000000001" customHeight="1" x14ac:dyDescent="0.25">
      <c r="A385" s="199"/>
      <c r="B385" s="199"/>
      <c r="C385" s="231" t="s">
        <v>624</v>
      </c>
      <c r="D385" s="807" t="s">
        <v>911</v>
      </c>
      <c r="E385" s="640"/>
      <c r="F385" s="268">
        <v>155451</v>
      </c>
      <c r="G385" s="151"/>
      <c r="H385" s="151"/>
      <c r="I385" s="151"/>
      <c r="J385" s="151"/>
      <c r="K385" s="151"/>
      <c r="L385" s="268"/>
      <c r="M385" s="268">
        <f>3000+táj2!M385</f>
        <v>3000</v>
      </c>
      <c r="N385" s="151"/>
      <c r="O385" s="151"/>
      <c r="P385" s="151"/>
      <c r="Q385" s="151">
        <f t="shared" si="31"/>
        <v>3000</v>
      </c>
    </row>
    <row r="386" spans="1:17" ht="17.100000000000001" customHeight="1" x14ac:dyDescent="0.25">
      <c r="A386" s="199"/>
      <c r="B386" s="199"/>
      <c r="C386" s="231" t="s">
        <v>625</v>
      </c>
      <c r="D386" s="277" t="s">
        <v>629</v>
      </c>
      <c r="E386" s="200"/>
      <c r="F386" s="555">
        <v>154468</v>
      </c>
      <c r="G386" s="151"/>
      <c r="H386" s="151"/>
      <c r="I386" s="151"/>
      <c r="J386" s="151"/>
      <c r="K386" s="151"/>
      <c r="L386" s="268"/>
      <c r="M386" s="268">
        <f>3800+táj2!M386</f>
        <v>3800</v>
      </c>
      <c r="N386" s="151"/>
      <c r="O386" s="151"/>
      <c r="P386" s="151"/>
      <c r="Q386" s="151">
        <f t="shared" si="31"/>
        <v>3800</v>
      </c>
    </row>
    <row r="387" spans="1:17" ht="17.100000000000001" customHeight="1" x14ac:dyDescent="0.25">
      <c r="A387" s="576"/>
      <c r="B387" s="576"/>
      <c r="C387" s="231" t="s">
        <v>626</v>
      </c>
      <c r="D387" s="580" t="s">
        <v>1215</v>
      </c>
      <c r="E387" s="574"/>
      <c r="F387" s="585">
        <v>154439</v>
      </c>
      <c r="G387" s="510"/>
      <c r="H387" s="510"/>
      <c r="I387" s="510"/>
      <c r="J387" s="510"/>
      <c r="K387" s="510"/>
      <c r="L387" s="268"/>
      <c r="M387" s="268">
        <f>2000+táj2!M387</f>
        <v>2000</v>
      </c>
      <c r="N387" s="510"/>
      <c r="O387" s="510"/>
      <c r="P387" s="510"/>
      <c r="Q387" s="510">
        <f t="shared" si="31"/>
        <v>2000</v>
      </c>
    </row>
    <row r="388" spans="1:17" ht="17.100000000000001" customHeight="1" x14ac:dyDescent="0.25">
      <c r="A388" s="576"/>
      <c r="B388" s="576"/>
      <c r="C388" s="231" t="s">
        <v>627</v>
      </c>
      <c r="D388" s="580" t="s">
        <v>1216</v>
      </c>
      <c r="E388" s="574"/>
      <c r="F388" s="585">
        <v>154440</v>
      </c>
      <c r="G388" s="510"/>
      <c r="H388" s="510"/>
      <c r="I388" s="510"/>
      <c r="J388" s="510"/>
      <c r="K388" s="510"/>
      <c r="L388" s="268"/>
      <c r="M388" s="268">
        <f>2500+táj2!M388</f>
        <v>1716</v>
      </c>
      <c r="N388" s="510"/>
      <c r="O388" s="510"/>
      <c r="P388" s="510"/>
      <c r="Q388" s="510">
        <f t="shared" si="31"/>
        <v>1716</v>
      </c>
    </row>
    <row r="389" spans="1:17" ht="17.100000000000001" customHeight="1" x14ac:dyDescent="0.25">
      <c r="A389" s="576"/>
      <c r="B389" s="576"/>
      <c r="C389" s="231" t="s">
        <v>1211</v>
      </c>
      <c r="D389" s="580" t="s">
        <v>1217</v>
      </c>
      <c r="E389" s="574"/>
      <c r="F389" s="574">
        <v>154493</v>
      </c>
      <c r="G389" s="510"/>
      <c r="H389" s="510"/>
      <c r="I389" s="510"/>
      <c r="J389" s="510"/>
      <c r="K389" s="510"/>
      <c r="L389" s="268"/>
      <c r="M389" s="268">
        <f>1000+táj2!M389</f>
        <v>1000</v>
      </c>
      <c r="N389" s="510"/>
      <c r="O389" s="510"/>
      <c r="P389" s="510"/>
      <c r="Q389" s="510">
        <f t="shared" si="31"/>
        <v>1000</v>
      </c>
    </row>
    <row r="390" spans="1:17" ht="17.100000000000001" customHeight="1" x14ac:dyDescent="0.25">
      <c r="A390" s="576"/>
      <c r="B390" s="576"/>
      <c r="C390" s="231" t="s">
        <v>1212</v>
      </c>
      <c r="D390" s="573" t="s">
        <v>1219</v>
      </c>
      <c r="E390" s="574"/>
      <c r="F390" s="585">
        <v>154441</v>
      </c>
      <c r="G390" s="563"/>
      <c r="H390" s="563"/>
      <c r="I390" s="563"/>
      <c r="J390" s="563"/>
      <c r="K390" s="563"/>
      <c r="L390" s="268"/>
      <c r="M390" s="268">
        <f>1500+táj2!M390</f>
        <v>0</v>
      </c>
      <c r="N390" s="563"/>
      <c r="O390" s="563"/>
      <c r="P390" s="563"/>
      <c r="Q390" s="510">
        <f t="shared" si="31"/>
        <v>0</v>
      </c>
    </row>
    <row r="391" spans="1:17" ht="17.100000000000001" customHeight="1" x14ac:dyDescent="0.25">
      <c r="A391" s="576"/>
      <c r="B391" s="576"/>
      <c r="C391" s="231" t="s">
        <v>1213</v>
      </c>
      <c r="D391" s="520" t="s">
        <v>1139</v>
      </c>
      <c r="E391" s="518"/>
      <c r="F391" s="654">
        <v>152440</v>
      </c>
      <c r="G391" s="151"/>
      <c r="H391" s="151"/>
      <c r="I391" s="151"/>
      <c r="J391" s="151"/>
      <c r="K391" s="151"/>
      <c r="L391" s="268">
        <f>171+táj2!L391</f>
        <v>897</v>
      </c>
      <c r="M391" s="268"/>
      <c r="N391" s="151"/>
      <c r="O391" s="151"/>
      <c r="P391" s="151"/>
      <c r="Q391" s="151">
        <f t="shared" ref="Q391:Q396" si="32">SUM(G391:P391)</f>
        <v>897</v>
      </c>
    </row>
    <row r="392" spans="1:17" ht="17.100000000000001" customHeight="1" x14ac:dyDescent="0.25">
      <c r="A392" s="641"/>
      <c r="B392" s="641"/>
      <c r="C392" s="231" t="s">
        <v>1214</v>
      </c>
      <c r="D392" s="643" t="s">
        <v>1238</v>
      </c>
      <c r="E392" s="640"/>
      <c r="F392" s="653">
        <v>155404</v>
      </c>
      <c r="G392" s="638"/>
      <c r="H392" s="638"/>
      <c r="I392" s="638"/>
      <c r="J392" s="638"/>
      <c r="K392" s="638"/>
      <c r="L392" s="268"/>
      <c r="M392" s="268">
        <f>3500+táj2!M392</f>
        <v>3500</v>
      </c>
      <c r="N392" s="638"/>
      <c r="O392" s="638"/>
      <c r="P392" s="638"/>
      <c r="Q392" s="151">
        <f t="shared" si="32"/>
        <v>3500</v>
      </c>
    </row>
    <row r="393" spans="1:17" ht="17.100000000000001" customHeight="1" x14ac:dyDescent="0.25">
      <c r="A393" s="641"/>
      <c r="B393" s="641"/>
      <c r="C393" s="231" t="s">
        <v>1233</v>
      </c>
      <c r="D393" s="643" t="s">
        <v>1240</v>
      </c>
      <c r="E393" s="640"/>
      <c r="F393" s="653">
        <v>154443</v>
      </c>
      <c r="G393" s="638"/>
      <c r="H393" s="638"/>
      <c r="I393" s="638"/>
      <c r="J393" s="638"/>
      <c r="K393" s="638"/>
      <c r="L393" s="268"/>
      <c r="M393" s="268">
        <f>5000+táj2!M393</f>
        <v>5000</v>
      </c>
      <c r="N393" s="638"/>
      <c r="O393" s="638"/>
      <c r="P393" s="638"/>
      <c r="Q393" s="638">
        <f t="shared" si="32"/>
        <v>5000</v>
      </c>
    </row>
    <row r="394" spans="1:17" ht="17.100000000000001" customHeight="1" x14ac:dyDescent="0.25">
      <c r="A394" s="641"/>
      <c r="B394" s="641"/>
      <c r="C394" s="231" t="s">
        <v>1239</v>
      </c>
      <c r="D394" s="643" t="s">
        <v>1241</v>
      </c>
      <c r="E394" s="640"/>
      <c r="F394" s="640">
        <v>152425</v>
      </c>
      <c r="G394" s="638"/>
      <c r="H394" s="638"/>
      <c r="I394" s="638"/>
      <c r="J394" s="638"/>
      <c r="K394" s="638"/>
      <c r="L394" s="268">
        <f>500+táj2!L394</f>
        <v>500</v>
      </c>
      <c r="M394" s="268"/>
      <c r="N394" s="638"/>
      <c r="O394" s="638"/>
      <c r="P394" s="638"/>
      <c r="Q394" s="638">
        <f t="shared" si="32"/>
        <v>500</v>
      </c>
    </row>
    <row r="395" spans="1:17" ht="17.100000000000001" customHeight="1" x14ac:dyDescent="0.25">
      <c r="A395" s="757"/>
      <c r="B395" s="757"/>
      <c r="C395" s="767" t="s">
        <v>1301</v>
      </c>
      <c r="D395" s="766" t="s">
        <v>1302</v>
      </c>
      <c r="E395" s="640"/>
      <c r="F395" s="653">
        <v>154444</v>
      </c>
      <c r="G395" s="764"/>
      <c r="H395" s="764"/>
      <c r="I395" s="764"/>
      <c r="J395" s="764"/>
      <c r="K395" s="764"/>
      <c r="L395" s="268"/>
      <c r="M395" s="268">
        <f>0+táj2!M395</f>
        <v>4686</v>
      </c>
      <c r="N395" s="764"/>
      <c r="O395" s="764"/>
      <c r="P395" s="764"/>
      <c r="Q395" s="638">
        <f t="shared" si="32"/>
        <v>4686</v>
      </c>
    </row>
    <row r="396" spans="1:17" ht="17.100000000000001" customHeight="1" x14ac:dyDescent="0.25">
      <c r="A396" s="757"/>
      <c r="B396" s="757"/>
      <c r="C396" s="767" t="s">
        <v>1318</v>
      </c>
      <c r="D396" s="766" t="s">
        <v>1319</v>
      </c>
      <c r="E396" s="640"/>
      <c r="F396" s="640">
        <v>152441</v>
      </c>
      <c r="G396" s="764"/>
      <c r="H396" s="764"/>
      <c r="I396" s="764"/>
      <c r="J396" s="764"/>
      <c r="K396" s="764"/>
      <c r="L396" s="268">
        <f>0+táj2!L396</f>
        <v>1552</v>
      </c>
      <c r="M396" s="760"/>
      <c r="N396" s="764"/>
      <c r="O396" s="764"/>
      <c r="P396" s="764"/>
      <c r="Q396" s="638">
        <f t="shared" si="32"/>
        <v>1552</v>
      </c>
    </row>
    <row r="397" spans="1:17" ht="17.100000000000001" customHeight="1" x14ac:dyDescent="0.25">
      <c r="A397" s="199"/>
      <c r="B397" s="199"/>
      <c r="C397" s="393"/>
      <c r="D397" s="186" t="s">
        <v>1026</v>
      </c>
      <c r="E397" s="200"/>
      <c r="F397" s="151"/>
      <c r="G397" s="151"/>
      <c r="H397" s="151"/>
      <c r="I397" s="151"/>
      <c r="J397" s="151"/>
      <c r="K397" s="151"/>
      <c r="L397" s="268"/>
      <c r="M397" s="268"/>
      <c r="N397" s="151"/>
      <c r="O397" s="151"/>
      <c r="P397" s="151"/>
      <c r="Q397" s="151"/>
    </row>
    <row r="398" spans="1:17" ht="17.100000000000001" customHeight="1" x14ac:dyDescent="0.25">
      <c r="A398" s="199"/>
      <c r="B398" s="199"/>
      <c r="C398" s="231" t="s">
        <v>636</v>
      </c>
      <c r="D398" s="277" t="s">
        <v>637</v>
      </c>
      <c r="E398" s="200"/>
      <c r="F398" s="151">
        <v>155420</v>
      </c>
      <c r="G398" s="151"/>
      <c r="H398" s="151"/>
      <c r="I398" s="151"/>
      <c r="J398" s="151"/>
      <c r="K398" s="151"/>
      <c r="L398" s="268"/>
      <c r="M398" s="268">
        <f>20681+táj2!M398</f>
        <v>20681</v>
      </c>
      <c r="N398" s="151"/>
      <c r="O398" s="151"/>
      <c r="P398" s="151"/>
      <c r="Q398" s="151">
        <f t="shared" si="31"/>
        <v>20681</v>
      </c>
    </row>
    <row r="399" spans="1:17" ht="17.399999999999999" customHeight="1" x14ac:dyDescent="0.25">
      <c r="A399" s="199"/>
      <c r="B399" s="199"/>
      <c r="C399" s="231" t="s">
        <v>638</v>
      </c>
      <c r="D399" s="394" t="s">
        <v>645</v>
      </c>
      <c r="E399" s="200"/>
      <c r="F399" s="151">
        <v>152405</v>
      </c>
      <c r="G399" s="151"/>
      <c r="H399" s="151"/>
      <c r="I399" s="268">
        <f>89+táj2!I399</f>
        <v>89</v>
      </c>
      <c r="J399" s="268"/>
      <c r="K399" s="268"/>
      <c r="L399" s="268">
        <f>11283+táj2!L399</f>
        <v>11133</v>
      </c>
      <c r="M399" s="268">
        <f>3929+táj2!M399</f>
        <v>4079</v>
      </c>
      <c r="N399" s="151"/>
      <c r="O399" s="151"/>
      <c r="P399" s="151"/>
      <c r="Q399" s="151">
        <f t="shared" si="31"/>
        <v>15301</v>
      </c>
    </row>
    <row r="400" spans="1:17" ht="18" customHeight="1" x14ac:dyDescent="0.25">
      <c r="A400" s="199"/>
      <c r="B400" s="199"/>
      <c r="C400" s="231" t="s">
        <v>639</v>
      </c>
      <c r="D400" s="277" t="s">
        <v>630</v>
      </c>
      <c r="E400" s="200"/>
      <c r="F400" s="151">
        <v>154411</v>
      </c>
      <c r="G400" s="151"/>
      <c r="H400" s="151"/>
      <c r="I400" s="151"/>
      <c r="J400" s="151"/>
      <c r="K400" s="151"/>
      <c r="L400" s="268"/>
      <c r="M400" s="268">
        <f>748+táj2!M400</f>
        <v>748</v>
      </c>
      <c r="N400" s="151"/>
      <c r="O400" s="151"/>
      <c r="P400" s="151"/>
      <c r="Q400" s="151">
        <f t="shared" si="31"/>
        <v>748</v>
      </c>
    </row>
    <row r="401" spans="1:17" ht="17.25" customHeight="1" x14ac:dyDescent="0.25">
      <c r="A401" s="199"/>
      <c r="B401" s="199"/>
      <c r="C401" s="231" t="s">
        <v>640</v>
      </c>
      <c r="D401" s="381" t="s">
        <v>632</v>
      </c>
      <c r="E401" s="200"/>
      <c r="F401" s="151">
        <v>155426</v>
      </c>
      <c r="G401" s="151"/>
      <c r="H401" s="151"/>
      <c r="I401" s="151"/>
      <c r="J401" s="151"/>
      <c r="K401" s="151"/>
      <c r="L401" s="268"/>
      <c r="M401" s="268">
        <f>6000+táj2!M401</f>
        <v>6000</v>
      </c>
      <c r="N401" s="151"/>
      <c r="O401" s="151"/>
      <c r="P401" s="151"/>
      <c r="Q401" s="151">
        <f t="shared" si="31"/>
        <v>6000</v>
      </c>
    </row>
    <row r="402" spans="1:17" ht="18" customHeight="1" x14ac:dyDescent="0.25">
      <c r="A402" s="199"/>
      <c r="B402" s="199"/>
      <c r="C402" s="231" t="s">
        <v>641</v>
      </c>
      <c r="D402" s="381" t="s">
        <v>633</v>
      </c>
      <c r="E402" s="200"/>
      <c r="F402" s="151">
        <v>152426</v>
      </c>
      <c r="G402" s="151"/>
      <c r="H402" s="151"/>
      <c r="I402" s="151"/>
      <c r="J402" s="151"/>
      <c r="K402" s="151"/>
      <c r="L402" s="268">
        <f>16902+táj2!L402</f>
        <v>16291</v>
      </c>
      <c r="M402" s="268"/>
      <c r="N402" s="151"/>
      <c r="O402" s="151"/>
      <c r="P402" s="151"/>
      <c r="Q402" s="151">
        <f t="shared" si="31"/>
        <v>16291</v>
      </c>
    </row>
    <row r="403" spans="1:17" ht="18" customHeight="1" x14ac:dyDescent="0.25">
      <c r="A403" s="199"/>
      <c r="B403" s="199"/>
      <c r="C403" s="231" t="s">
        <v>642</v>
      </c>
      <c r="D403" s="381" t="s">
        <v>635</v>
      </c>
      <c r="E403" s="200"/>
      <c r="F403" s="151">
        <v>155427</v>
      </c>
      <c r="G403" s="151"/>
      <c r="H403" s="151"/>
      <c r="I403" s="151"/>
      <c r="J403" s="151"/>
      <c r="K403" s="151"/>
      <c r="L403" s="268"/>
      <c r="M403" s="268">
        <f>4045+táj2!M403</f>
        <v>4045</v>
      </c>
      <c r="N403" s="151"/>
      <c r="O403" s="151"/>
      <c r="P403" s="151"/>
      <c r="Q403" s="151">
        <f t="shared" si="31"/>
        <v>4045</v>
      </c>
    </row>
    <row r="404" spans="1:17" ht="18" customHeight="1" x14ac:dyDescent="0.25">
      <c r="A404" s="199"/>
      <c r="B404" s="199"/>
      <c r="C404" s="231" t="s">
        <v>643</v>
      </c>
      <c r="D404" s="797" t="s">
        <v>901</v>
      </c>
      <c r="E404" s="640"/>
      <c r="F404" s="200">
        <v>151422</v>
      </c>
      <c r="G404" s="151"/>
      <c r="H404" s="151"/>
      <c r="I404" s="268">
        <f>10000+táj2!I404</f>
        <v>10000</v>
      </c>
      <c r="J404" s="268"/>
      <c r="K404" s="268"/>
      <c r="L404" s="268"/>
      <c r="M404" s="268"/>
      <c r="N404" s="151"/>
      <c r="O404" s="151"/>
      <c r="P404" s="151"/>
      <c r="Q404" s="151">
        <f t="shared" si="31"/>
        <v>10000</v>
      </c>
    </row>
    <row r="405" spans="1:17" ht="16.95" customHeight="1" x14ac:dyDescent="0.25">
      <c r="A405" s="199"/>
      <c r="B405" s="199"/>
      <c r="C405" s="231" t="s">
        <v>644</v>
      </c>
      <c r="D405" s="806" t="s">
        <v>902</v>
      </c>
      <c r="E405" s="640"/>
      <c r="F405" s="200">
        <v>155434</v>
      </c>
      <c r="G405" s="151"/>
      <c r="H405" s="151"/>
      <c r="I405" s="151"/>
      <c r="J405" s="151"/>
      <c r="K405" s="151"/>
      <c r="L405" s="268">
        <f>7215+táj2!L405</f>
        <v>7215</v>
      </c>
      <c r="M405" s="268"/>
      <c r="N405" s="151"/>
      <c r="O405" s="151"/>
      <c r="P405" s="151"/>
      <c r="Q405" s="151">
        <f t="shared" si="31"/>
        <v>7215</v>
      </c>
    </row>
    <row r="406" spans="1:17" ht="16.2" customHeight="1" x14ac:dyDescent="0.25">
      <c r="A406" s="199"/>
      <c r="B406" s="199"/>
      <c r="C406" s="231" t="s">
        <v>913</v>
      </c>
      <c r="D406" s="766" t="s">
        <v>903</v>
      </c>
      <c r="E406" s="640"/>
      <c r="F406" s="200">
        <v>151423</v>
      </c>
      <c r="G406" s="151"/>
      <c r="H406" s="151"/>
      <c r="I406" s="151"/>
      <c r="J406" s="151"/>
      <c r="K406" s="151"/>
      <c r="L406" s="268"/>
      <c r="M406" s="268">
        <f>2000+táj2!M406</f>
        <v>2000</v>
      </c>
      <c r="N406" s="151"/>
      <c r="O406" s="151"/>
      <c r="P406" s="151"/>
      <c r="Q406" s="151">
        <f t="shared" si="31"/>
        <v>2000</v>
      </c>
    </row>
    <row r="407" spans="1:17" ht="17.25" customHeight="1" x14ac:dyDescent="0.25">
      <c r="A407" s="199"/>
      <c r="B407" s="199"/>
      <c r="C407" s="231" t="s">
        <v>914</v>
      </c>
      <c r="D407" s="766" t="s">
        <v>904</v>
      </c>
      <c r="E407" s="640"/>
      <c r="F407" s="151">
        <v>155436</v>
      </c>
      <c r="G407" s="151"/>
      <c r="H407" s="151"/>
      <c r="I407" s="151"/>
      <c r="J407" s="151"/>
      <c r="K407" s="151"/>
      <c r="L407" s="268"/>
      <c r="M407" s="268">
        <f>3000+táj2!M407</f>
        <v>3000</v>
      </c>
      <c r="N407" s="151"/>
      <c r="O407" s="151"/>
      <c r="P407" s="151"/>
      <c r="Q407" s="151">
        <f t="shared" si="31"/>
        <v>3000</v>
      </c>
    </row>
    <row r="408" spans="1:17" ht="19.2" customHeight="1" x14ac:dyDescent="0.25">
      <c r="A408" s="199"/>
      <c r="B408" s="199"/>
      <c r="C408" s="231" t="s">
        <v>915</v>
      </c>
      <c r="D408" s="766" t="s">
        <v>905</v>
      </c>
      <c r="E408" s="640"/>
      <c r="F408" s="151">
        <v>155439</v>
      </c>
      <c r="G408" s="151"/>
      <c r="H408" s="151"/>
      <c r="I408" s="151"/>
      <c r="J408" s="151"/>
      <c r="K408" s="151"/>
      <c r="L408" s="268"/>
      <c r="M408" s="268">
        <f>2975+táj2!M408</f>
        <v>2975</v>
      </c>
      <c r="N408" s="151"/>
      <c r="O408" s="151"/>
      <c r="P408" s="151"/>
      <c r="Q408" s="151">
        <f t="shared" si="31"/>
        <v>2975</v>
      </c>
    </row>
    <row r="409" spans="1:17" ht="16.95" customHeight="1" x14ac:dyDescent="0.25">
      <c r="A409" s="199"/>
      <c r="B409" s="199"/>
      <c r="C409" s="231" t="s">
        <v>916</v>
      </c>
      <c r="D409" s="766" t="s">
        <v>906</v>
      </c>
      <c r="E409" s="640"/>
      <c r="F409" s="151">
        <v>155445</v>
      </c>
      <c r="G409" s="151"/>
      <c r="H409" s="151"/>
      <c r="I409" s="151"/>
      <c r="J409" s="151"/>
      <c r="K409" s="151"/>
      <c r="L409" s="268">
        <f>1000+táj2!L409</f>
        <v>1000</v>
      </c>
      <c r="M409" s="268">
        <f>918+táj2!M409</f>
        <v>918</v>
      </c>
      <c r="N409" s="151"/>
      <c r="O409" s="151"/>
      <c r="P409" s="151"/>
      <c r="Q409" s="151">
        <f t="shared" si="31"/>
        <v>1918</v>
      </c>
    </row>
    <row r="410" spans="1:17" ht="23.25" customHeight="1" x14ac:dyDescent="0.25">
      <c r="A410" s="199"/>
      <c r="B410" s="199"/>
      <c r="C410" s="231" t="s">
        <v>917</v>
      </c>
      <c r="D410" s="766" t="s">
        <v>907</v>
      </c>
      <c r="E410" s="640"/>
      <c r="F410" s="151">
        <v>155448</v>
      </c>
      <c r="G410" s="151"/>
      <c r="H410" s="151"/>
      <c r="I410" s="151"/>
      <c r="J410" s="151"/>
      <c r="K410" s="151"/>
      <c r="L410" s="268"/>
      <c r="M410" s="268">
        <f>3000+táj2!M410</f>
        <v>3000</v>
      </c>
      <c r="N410" s="151"/>
      <c r="O410" s="151"/>
      <c r="P410" s="151"/>
      <c r="Q410" s="151">
        <f t="shared" si="31"/>
        <v>3000</v>
      </c>
    </row>
    <row r="411" spans="1:17" ht="23.25" customHeight="1" x14ac:dyDescent="0.25">
      <c r="A411" s="199"/>
      <c r="B411" s="199"/>
      <c r="C411" s="231" t="s">
        <v>918</v>
      </c>
      <c r="D411" s="766" t="s">
        <v>908</v>
      </c>
      <c r="E411" s="640"/>
      <c r="F411" s="151">
        <v>152433</v>
      </c>
      <c r="G411" s="151"/>
      <c r="H411" s="151"/>
      <c r="I411" s="151"/>
      <c r="J411" s="151"/>
      <c r="K411" s="151"/>
      <c r="L411" s="268">
        <f>7093+táj2!L411</f>
        <v>7093</v>
      </c>
      <c r="M411" s="268"/>
      <c r="N411" s="151"/>
      <c r="O411" s="151"/>
      <c r="P411" s="151"/>
      <c r="Q411" s="151">
        <f t="shared" ref="Q411:Q432" si="33">SUM(G411:P411)</f>
        <v>7093</v>
      </c>
    </row>
    <row r="412" spans="1:17" ht="23.25" customHeight="1" x14ac:dyDescent="0.25">
      <c r="A412" s="199"/>
      <c r="B412" s="199"/>
      <c r="C412" s="231" t="s">
        <v>919</v>
      </c>
      <c r="D412" s="766" t="s">
        <v>909</v>
      </c>
      <c r="E412" s="640"/>
      <c r="F412" s="151">
        <v>155450</v>
      </c>
      <c r="G412" s="151"/>
      <c r="H412" s="151"/>
      <c r="I412" s="151"/>
      <c r="J412" s="151"/>
      <c r="K412" s="151"/>
      <c r="L412" s="268"/>
      <c r="M412" s="268">
        <f>3094+táj2!M412</f>
        <v>3094</v>
      </c>
      <c r="N412" s="151"/>
      <c r="O412" s="151"/>
      <c r="P412" s="151"/>
      <c r="Q412" s="151">
        <f t="shared" si="33"/>
        <v>3094</v>
      </c>
    </row>
    <row r="413" spans="1:17" ht="23.25" customHeight="1" x14ac:dyDescent="0.25">
      <c r="A413" s="199"/>
      <c r="B413" s="199"/>
      <c r="C413" s="231" t="s">
        <v>920</v>
      </c>
      <c r="D413" s="766" t="s">
        <v>910</v>
      </c>
      <c r="E413" s="640"/>
      <c r="F413" s="151">
        <v>155449</v>
      </c>
      <c r="G413" s="151"/>
      <c r="H413" s="151"/>
      <c r="I413" s="151"/>
      <c r="J413" s="151"/>
      <c r="K413" s="151"/>
      <c r="L413" s="268">
        <f>1151+táj2!L413</f>
        <v>1151</v>
      </c>
      <c r="M413" s="268">
        <f>1276+táj2!M413</f>
        <v>1276</v>
      </c>
      <c r="N413" s="151"/>
      <c r="O413" s="151"/>
      <c r="P413" s="151"/>
      <c r="Q413" s="151">
        <f t="shared" si="33"/>
        <v>2427</v>
      </c>
    </row>
    <row r="414" spans="1:17" ht="23.25" customHeight="1" x14ac:dyDescent="0.25">
      <c r="A414" s="199"/>
      <c r="B414" s="199"/>
      <c r="C414" s="231" t="s">
        <v>921</v>
      </c>
      <c r="D414" s="365" t="s">
        <v>613</v>
      </c>
      <c r="E414" s="200"/>
      <c r="F414" s="200">
        <v>152420</v>
      </c>
      <c r="G414" s="151"/>
      <c r="H414" s="151"/>
      <c r="I414" s="151"/>
      <c r="J414" s="151"/>
      <c r="K414" s="151"/>
      <c r="L414" s="268">
        <f>7124+táj2!L414</f>
        <v>7124</v>
      </c>
      <c r="M414" s="268"/>
      <c r="N414" s="151"/>
      <c r="O414" s="151"/>
      <c r="P414" s="151"/>
      <c r="Q414" s="151">
        <f t="shared" si="33"/>
        <v>7124</v>
      </c>
    </row>
    <row r="415" spans="1:17" ht="23.25" customHeight="1" x14ac:dyDescent="0.25">
      <c r="A415" s="199"/>
      <c r="B415" s="199"/>
      <c r="C415" s="231" t="s">
        <v>1045</v>
      </c>
      <c r="D415" s="365" t="s">
        <v>912</v>
      </c>
      <c r="E415" s="200"/>
      <c r="F415" s="200">
        <v>155484</v>
      </c>
      <c r="G415" s="151"/>
      <c r="H415" s="151"/>
      <c r="I415" s="151"/>
      <c r="J415" s="151"/>
      <c r="K415" s="151"/>
      <c r="L415" s="268"/>
      <c r="M415" s="268">
        <f>4000+táj2!M415</f>
        <v>4000</v>
      </c>
      <c r="N415" s="151"/>
      <c r="O415" s="151"/>
      <c r="P415" s="151"/>
      <c r="Q415" s="151">
        <f t="shared" si="33"/>
        <v>4000</v>
      </c>
    </row>
    <row r="416" spans="1:17" ht="23.25" customHeight="1" x14ac:dyDescent="0.25">
      <c r="A416" s="199"/>
      <c r="B416" s="199"/>
      <c r="C416" s="231" t="s">
        <v>1046</v>
      </c>
      <c r="D416" s="363" t="s">
        <v>628</v>
      </c>
      <c r="E416" s="200"/>
      <c r="F416" s="200">
        <v>155491</v>
      </c>
      <c r="G416" s="151"/>
      <c r="H416" s="151"/>
      <c r="I416" s="151"/>
      <c r="J416" s="151"/>
      <c r="K416" s="151"/>
      <c r="L416" s="268"/>
      <c r="M416" s="268">
        <f>6115+táj2!M416</f>
        <v>6115</v>
      </c>
      <c r="N416" s="151"/>
      <c r="O416" s="151"/>
      <c r="P416" s="151"/>
      <c r="Q416" s="151">
        <f t="shared" si="33"/>
        <v>6115</v>
      </c>
    </row>
    <row r="417" spans="1:17" ht="23.25" customHeight="1" x14ac:dyDescent="0.25">
      <c r="A417" s="199"/>
      <c r="B417" s="199"/>
      <c r="C417" s="231" t="s">
        <v>1047</v>
      </c>
      <c r="D417" s="365" t="s">
        <v>1132</v>
      </c>
      <c r="E417" s="200"/>
      <c r="F417" s="200">
        <v>155403</v>
      </c>
      <c r="G417" s="151"/>
      <c r="H417" s="151"/>
      <c r="I417" s="151"/>
      <c r="J417" s="151"/>
      <c r="K417" s="151"/>
      <c r="L417" s="268"/>
      <c r="M417" s="268">
        <f>10647+táj2!M417</f>
        <v>10647</v>
      </c>
      <c r="N417" s="151"/>
      <c r="O417" s="151"/>
      <c r="P417" s="151"/>
      <c r="Q417" s="151">
        <f t="shared" si="33"/>
        <v>10647</v>
      </c>
    </row>
    <row r="418" spans="1:17" ht="23.25" customHeight="1" x14ac:dyDescent="0.25">
      <c r="A418" s="199"/>
      <c r="B418" s="199"/>
      <c r="C418" s="231" t="s">
        <v>1048</v>
      </c>
      <c r="D418" s="365" t="s">
        <v>631</v>
      </c>
      <c r="E418" s="200"/>
      <c r="F418" s="200">
        <v>155412</v>
      </c>
      <c r="G418" s="151"/>
      <c r="H418" s="151"/>
      <c r="I418" s="151"/>
      <c r="J418" s="151"/>
      <c r="K418" s="151"/>
      <c r="L418" s="268"/>
      <c r="M418" s="268">
        <f>4619+táj2!M418</f>
        <v>4619</v>
      </c>
      <c r="N418" s="151"/>
      <c r="O418" s="151"/>
      <c r="P418" s="151"/>
      <c r="Q418" s="151">
        <f t="shared" si="33"/>
        <v>4619</v>
      </c>
    </row>
    <row r="419" spans="1:17" ht="23.25" customHeight="1" x14ac:dyDescent="0.25">
      <c r="A419" s="199"/>
      <c r="B419" s="199"/>
      <c r="C419" s="231" t="s">
        <v>1049</v>
      </c>
      <c r="D419" s="381" t="s">
        <v>634</v>
      </c>
      <c r="E419" s="200"/>
      <c r="F419" s="200">
        <v>155430</v>
      </c>
      <c r="G419" s="151"/>
      <c r="H419" s="151"/>
      <c r="I419" s="151"/>
      <c r="J419" s="151"/>
      <c r="K419" s="151"/>
      <c r="L419" s="268"/>
      <c r="M419" s="268">
        <f>2000+táj2!M419</f>
        <v>2000</v>
      </c>
      <c r="N419" s="151"/>
      <c r="O419" s="151"/>
      <c r="P419" s="151"/>
      <c r="Q419" s="151">
        <f t="shared" si="33"/>
        <v>2000</v>
      </c>
    </row>
    <row r="420" spans="1:17" ht="23.25" customHeight="1" x14ac:dyDescent="0.25">
      <c r="A420" s="199"/>
      <c r="B420" s="199"/>
      <c r="C420" s="231" t="s">
        <v>1050</v>
      </c>
      <c r="D420" s="478" t="s">
        <v>1051</v>
      </c>
      <c r="E420" s="200"/>
      <c r="F420" s="200">
        <v>152442</v>
      </c>
      <c r="G420" s="151"/>
      <c r="H420" s="151"/>
      <c r="I420" s="151"/>
      <c r="J420" s="151"/>
      <c r="K420" s="151"/>
      <c r="L420" s="268">
        <f>6000+táj2!L420</f>
        <v>6000</v>
      </c>
      <c r="M420" s="268"/>
      <c r="N420" s="151"/>
      <c r="O420" s="151"/>
      <c r="P420" s="151"/>
      <c r="Q420" s="151">
        <f t="shared" si="33"/>
        <v>6000</v>
      </c>
    </row>
    <row r="421" spans="1:17" ht="23.25" customHeight="1" x14ac:dyDescent="0.25">
      <c r="A421" s="199"/>
      <c r="B421" s="199"/>
      <c r="C421" s="231" t="s">
        <v>1052</v>
      </c>
      <c r="D421" s="796" t="s">
        <v>1100</v>
      </c>
      <c r="E421" s="640"/>
      <c r="F421" s="200">
        <v>155459</v>
      </c>
      <c r="G421" s="151"/>
      <c r="H421" s="151"/>
      <c r="I421" s="151"/>
      <c r="J421" s="151"/>
      <c r="K421" s="151"/>
      <c r="L421" s="268"/>
      <c r="M421" s="268">
        <f>1649+táj2!M421</f>
        <v>1649</v>
      </c>
      <c r="N421" s="151"/>
      <c r="O421" s="151"/>
      <c r="P421" s="151"/>
      <c r="Q421" s="151">
        <f t="shared" si="33"/>
        <v>1649</v>
      </c>
    </row>
    <row r="422" spans="1:17" ht="23.25" customHeight="1" x14ac:dyDescent="0.25">
      <c r="A422" s="199"/>
      <c r="B422" s="199"/>
      <c r="C422" s="231" t="s">
        <v>1053</v>
      </c>
      <c r="D422" s="796" t="s">
        <v>1054</v>
      </c>
      <c r="E422" s="640"/>
      <c r="F422" s="200">
        <v>155460</v>
      </c>
      <c r="G422" s="151"/>
      <c r="H422" s="151"/>
      <c r="I422" s="151"/>
      <c r="J422" s="151"/>
      <c r="K422" s="151"/>
      <c r="L422" s="268"/>
      <c r="M422" s="268">
        <f>1508+táj2!M422</f>
        <v>2628</v>
      </c>
      <c r="N422" s="151"/>
      <c r="O422" s="151"/>
      <c r="P422" s="151"/>
      <c r="Q422" s="151">
        <f t="shared" si="33"/>
        <v>2628</v>
      </c>
    </row>
    <row r="423" spans="1:17" ht="23.25" customHeight="1" x14ac:dyDescent="0.25">
      <c r="A423" s="199"/>
      <c r="B423" s="199"/>
      <c r="C423" s="231" t="s">
        <v>1055</v>
      </c>
      <c r="D423" s="480" t="s">
        <v>1056</v>
      </c>
      <c r="E423" s="200"/>
      <c r="F423" s="200">
        <v>164419</v>
      </c>
      <c r="G423" s="151"/>
      <c r="H423" s="151"/>
      <c r="I423" s="151"/>
      <c r="J423" s="151"/>
      <c r="K423" s="151"/>
      <c r="L423" s="268"/>
      <c r="M423" s="268">
        <f>600+táj2!M423</f>
        <v>600</v>
      </c>
      <c r="N423" s="151"/>
      <c r="O423" s="151"/>
      <c r="P423" s="151"/>
      <c r="Q423" s="151">
        <f t="shared" si="33"/>
        <v>600</v>
      </c>
    </row>
    <row r="424" spans="1:17" ht="23.25" customHeight="1" x14ac:dyDescent="0.25">
      <c r="A424" s="199"/>
      <c r="B424" s="199"/>
      <c r="C424" s="231" t="s">
        <v>1057</v>
      </c>
      <c r="D424" s="480" t="s">
        <v>1058</v>
      </c>
      <c r="E424" s="200"/>
      <c r="F424" s="200">
        <v>164411</v>
      </c>
      <c r="G424" s="151"/>
      <c r="H424" s="151"/>
      <c r="I424" s="151"/>
      <c r="J424" s="151"/>
      <c r="K424" s="151"/>
      <c r="L424" s="268"/>
      <c r="M424" s="268">
        <f>2076+táj2!M424</f>
        <v>2076</v>
      </c>
      <c r="N424" s="151"/>
      <c r="O424" s="151"/>
      <c r="P424" s="151"/>
      <c r="Q424" s="151">
        <f t="shared" si="33"/>
        <v>2076</v>
      </c>
    </row>
    <row r="425" spans="1:17" ht="32.25" customHeight="1" x14ac:dyDescent="0.25">
      <c r="A425" s="199"/>
      <c r="B425" s="199"/>
      <c r="C425" s="231" t="s">
        <v>1059</v>
      </c>
      <c r="D425" s="480" t="s">
        <v>1060</v>
      </c>
      <c r="E425" s="200"/>
      <c r="F425" s="200">
        <v>164414</v>
      </c>
      <c r="G425" s="151"/>
      <c r="H425" s="151"/>
      <c r="I425" s="151"/>
      <c r="J425" s="151"/>
      <c r="K425" s="151"/>
      <c r="L425" s="268"/>
      <c r="M425" s="268">
        <f>19788+táj2!M425</f>
        <v>19788</v>
      </c>
      <c r="N425" s="151"/>
      <c r="O425" s="151"/>
      <c r="P425" s="151"/>
      <c r="Q425" s="151">
        <f t="shared" si="33"/>
        <v>19788</v>
      </c>
    </row>
    <row r="426" spans="1:17" ht="23.25" customHeight="1" x14ac:dyDescent="0.25">
      <c r="A426" s="199"/>
      <c r="B426" s="199"/>
      <c r="C426" s="231" t="s">
        <v>1061</v>
      </c>
      <c r="D426" s="605" t="s">
        <v>1062</v>
      </c>
      <c r="E426" s="200"/>
      <c r="F426" s="200">
        <v>152419</v>
      </c>
      <c r="G426" s="151"/>
      <c r="H426" s="151"/>
      <c r="I426" s="151"/>
      <c r="J426" s="151"/>
      <c r="K426" s="151"/>
      <c r="L426" s="268">
        <f>3108+táj2!L426</f>
        <v>3935</v>
      </c>
      <c r="M426" s="268"/>
      <c r="N426" s="151"/>
      <c r="O426" s="151"/>
      <c r="P426" s="151"/>
      <c r="Q426" s="151">
        <f t="shared" si="33"/>
        <v>3935</v>
      </c>
    </row>
    <row r="427" spans="1:17" ht="23.25" customHeight="1" x14ac:dyDescent="0.25">
      <c r="A427" s="199"/>
      <c r="B427" s="199"/>
      <c r="C427" s="231" t="s">
        <v>1063</v>
      </c>
      <c r="D427" s="605" t="s">
        <v>1064</v>
      </c>
      <c r="E427" s="200"/>
      <c r="F427" s="200">
        <v>154459</v>
      </c>
      <c r="G427" s="151"/>
      <c r="H427" s="151"/>
      <c r="I427" s="151"/>
      <c r="J427" s="151"/>
      <c r="K427" s="151"/>
      <c r="L427" s="268">
        <f>6049+táj2!L427</f>
        <v>0</v>
      </c>
      <c r="M427" s="268">
        <f>0+táj2!M427</f>
        <v>6049</v>
      </c>
      <c r="N427" s="151"/>
      <c r="O427" s="151"/>
      <c r="P427" s="151"/>
      <c r="Q427" s="151">
        <f t="shared" si="33"/>
        <v>6049</v>
      </c>
    </row>
    <row r="428" spans="1:17" ht="23.25" customHeight="1" x14ac:dyDescent="0.25">
      <c r="A428" s="199"/>
      <c r="B428" s="199"/>
      <c r="C428" s="231" t="s">
        <v>1065</v>
      </c>
      <c r="D428" s="605" t="s">
        <v>1066</v>
      </c>
      <c r="E428" s="200"/>
      <c r="F428" s="200">
        <v>152437</v>
      </c>
      <c r="G428" s="151"/>
      <c r="H428" s="151"/>
      <c r="I428" s="151"/>
      <c r="J428" s="151"/>
      <c r="K428" s="151"/>
      <c r="L428" s="268">
        <f>2111+táj2!L428</f>
        <v>5559</v>
      </c>
      <c r="M428" s="268"/>
      <c r="N428" s="151"/>
      <c r="O428" s="151"/>
      <c r="P428" s="151"/>
      <c r="Q428" s="151">
        <f t="shared" si="33"/>
        <v>5559</v>
      </c>
    </row>
    <row r="429" spans="1:17" ht="23.25" customHeight="1" x14ac:dyDescent="0.25">
      <c r="A429" s="199"/>
      <c r="B429" s="199"/>
      <c r="C429" s="606" t="s">
        <v>1067</v>
      </c>
      <c r="D429" s="365" t="s">
        <v>1068</v>
      </c>
      <c r="E429" s="200"/>
      <c r="F429" s="200">
        <v>155469</v>
      </c>
      <c r="G429" s="151"/>
      <c r="H429" s="151"/>
      <c r="I429" s="151"/>
      <c r="J429" s="151"/>
      <c r="K429" s="151"/>
      <c r="L429" s="268"/>
      <c r="M429" s="268">
        <f>1688+táj2!M429</f>
        <v>1688</v>
      </c>
      <c r="N429" s="151"/>
      <c r="O429" s="151"/>
      <c r="P429" s="151"/>
      <c r="Q429" s="151">
        <f t="shared" si="33"/>
        <v>1688</v>
      </c>
    </row>
    <row r="430" spans="1:17" ht="23.25" customHeight="1" x14ac:dyDescent="0.25">
      <c r="A430" s="576"/>
      <c r="B430" s="576"/>
      <c r="C430" s="606" t="s">
        <v>1204</v>
      </c>
      <c r="D430" s="573" t="s">
        <v>1129</v>
      </c>
      <c r="E430" s="574"/>
      <c r="F430" s="574">
        <v>152430</v>
      </c>
      <c r="G430" s="510"/>
      <c r="H430" s="510"/>
      <c r="I430" s="510"/>
      <c r="J430" s="510"/>
      <c r="K430" s="510"/>
      <c r="L430" s="268">
        <f>1000+táj2!L430</f>
        <v>1000</v>
      </c>
      <c r="M430" s="268"/>
      <c r="N430" s="510"/>
      <c r="O430" s="510"/>
      <c r="P430" s="510"/>
      <c r="Q430" s="151">
        <f t="shared" si="33"/>
        <v>1000</v>
      </c>
    </row>
    <row r="431" spans="1:17" ht="23.25" customHeight="1" x14ac:dyDescent="0.25">
      <c r="A431" s="576"/>
      <c r="B431" s="576"/>
      <c r="C431" s="606" t="s">
        <v>1205</v>
      </c>
      <c r="D431" s="573" t="s">
        <v>1131</v>
      </c>
      <c r="E431" s="574"/>
      <c r="F431" s="574">
        <v>155433</v>
      </c>
      <c r="G431" s="510"/>
      <c r="H431" s="510"/>
      <c r="I431" s="510"/>
      <c r="J431" s="510"/>
      <c r="K431" s="510"/>
      <c r="L431" s="268"/>
      <c r="M431" s="268">
        <f>3000+táj2!M431</f>
        <v>3000</v>
      </c>
      <c r="N431" s="510"/>
      <c r="O431" s="510"/>
      <c r="P431" s="510"/>
      <c r="Q431" s="151">
        <f t="shared" si="33"/>
        <v>3000</v>
      </c>
    </row>
    <row r="432" spans="1:17" ht="23.25" customHeight="1" x14ac:dyDescent="0.25">
      <c r="A432" s="576"/>
      <c r="B432" s="576"/>
      <c r="C432" s="606" t="s">
        <v>1206</v>
      </c>
      <c r="D432" s="575" t="s">
        <v>1133</v>
      </c>
      <c r="E432" s="574"/>
      <c r="F432" s="574">
        <v>154446</v>
      </c>
      <c r="G432" s="510"/>
      <c r="H432" s="510"/>
      <c r="I432" s="510"/>
      <c r="J432" s="510"/>
      <c r="K432" s="510"/>
      <c r="L432" s="268"/>
      <c r="M432" s="268">
        <f>5000+táj2!M432</f>
        <v>5000</v>
      </c>
      <c r="N432" s="510"/>
      <c r="O432" s="510"/>
      <c r="P432" s="510"/>
      <c r="Q432" s="151">
        <f t="shared" si="33"/>
        <v>5000</v>
      </c>
    </row>
    <row r="433" spans="1:17" ht="15.75" customHeight="1" x14ac:dyDescent="0.25">
      <c r="A433" s="199"/>
      <c r="B433" s="199"/>
      <c r="C433" s="395" t="s">
        <v>82</v>
      </c>
      <c r="D433" s="396" t="s">
        <v>646</v>
      </c>
      <c r="E433" s="201"/>
      <c r="F433" s="202"/>
      <c r="G433" s="151"/>
      <c r="H433" s="151"/>
      <c r="I433" s="151"/>
      <c r="J433" s="151"/>
      <c r="K433" s="151"/>
      <c r="L433" s="268"/>
      <c r="M433" s="268"/>
      <c r="N433" s="151"/>
      <c r="O433" s="151"/>
      <c r="P433" s="151"/>
      <c r="Q433" s="151"/>
    </row>
    <row r="434" spans="1:17" ht="18" customHeight="1" x14ac:dyDescent="0.25">
      <c r="A434" s="199"/>
      <c r="B434" s="199"/>
      <c r="C434" s="188" t="s">
        <v>647</v>
      </c>
      <c r="D434" s="603" t="s">
        <v>1134</v>
      </c>
      <c r="E434" s="200"/>
      <c r="F434" s="268">
        <v>154502</v>
      </c>
      <c r="G434" s="151"/>
      <c r="H434" s="151"/>
      <c r="I434" s="151"/>
      <c r="J434" s="151"/>
      <c r="K434" s="151"/>
      <c r="L434" s="268"/>
      <c r="M434" s="268">
        <f>1000+táj2!M434</f>
        <v>1000</v>
      </c>
      <c r="N434" s="151"/>
      <c r="O434" s="151"/>
      <c r="P434" s="151"/>
      <c r="Q434" s="151">
        <f t="shared" ref="Q434:Q443" si="34">SUM(G434:P434)</f>
        <v>1000</v>
      </c>
    </row>
    <row r="435" spans="1:17" ht="18" customHeight="1" x14ac:dyDescent="0.25">
      <c r="A435" s="199"/>
      <c r="B435" s="199"/>
      <c r="C435" s="188" t="s">
        <v>648</v>
      </c>
      <c r="D435" s="603" t="s">
        <v>1135</v>
      </c>
      <c r="F435" s="268">
        <v>152510</v>
      </c>
      <c r="G435" s="151"/>
      <c r="H435" s="151"/>
      <c r="I435" s="151"/>
      <c r="J435" s="151"/>
      <c r="K435" s="151"/>
      <c r="L435" s="268">
        <f>3000+táj2!L435</f>
        <v>3000</v>
      </c>
      <c r="M435" s="268"/>
      <c r="N435" s="151"/>
      <c r="O435" s="151"/>
      <c r="P435" s="151"/>
      <c r="Q435" s="151">
        <f t="shared" si="34"/>
        <v>3000</v>
      </c>
    </row>
    <row r="436" spans="1:17" ht="18" customHeight="1" x14ac:dyDescent="0.25">
      <c r="A436" s="199"/>
      <c r="B436" s="199"/>
      <c r="C436" s="188" t="s">
        <v>649</v>
      </c>
      <c r="D436" s="603" t="s">
        <v>1136</v>
      </c>
      <c r="E436" s="201"/>
      <c r="F436" s="268">
        <v>152511</v>
      </c>
      <c r="G436" s="151"/>
      <c r="H436" s="151"/>
      <c r="I436" s="151"/>
      <c r="J436" s="151"/>
      <c r="K436" s="151"/>
      <c r="L436" s="268">
        <f>1000+táj2!L436</f>
        <v>1000</v>
      </c>
      <c r="M436" s="268"/>
      <c r="N436" s="151"/>
      <c r="O436" s="151"/>
      <c r="P436" s="151"/>
      <c r="Q436" s="151">
        <f t="shared" si="34"/>
        <v>1000</v>
      </c>
    </row>
    <row r="437" spans="1:17" ht="18" customHeight="1" x14ac:dyDescent="0.25">
      <c r="A437" s="199"/>
      <c r="B437" s="199"/>
      <c r="C437" s="188" t="s">
        <v>650</v>
      </c>
      <c r="D437" s="575" t="s">
        <v>1137</v>
      </c>
      <c r="E437" s="574"/>
      <c r="F437" s="585">
        <v>152574</v>
      </c>
      <c r="G437" s="151"/>
      <c r="H437" s="151"/>
      <c r="I437" s="151"/>
      <c r="J437" s="151"/>
      <c r="K437" s="151"/>
      <c r="L437" s="268">
        <f>22000+táj2!L437</f>
        <v>22000</v>
      </c>
      <c r="M437" s="268"/>
      <c r="N437" s="151"/>
      <c r="O437" s="151"/>
      <c r="P437" s="151"/>
      <c r="Q437" s="151">
        <f t="shared" si="34"/>
        <v>22000</v>
      </c>
    </row>
    <row r="438" spans="1:17" ht="18" customHeight="1" x14ac:dyDescent="0.25">
      <c r="A438" s="199"/>
      <c r="B438" s="199"/>
      <c r="C438" s="188" t="s">
        <v>651</v>
      </c>
      <c r="D438" s="573" t="s">
        <v>1138</v>
      </c>
      <c r="E438" s="399"/>
      <c r="F438" s="268">
        <v>154507</v>
      </c>
      <c r="G438" s="151"/>
      <c r="H438" s="151"/>
      <c r="I438" s="151"/>
      <c r="J438" s="151"/>
      <c r="K438" s="151"/>
      <c r="L438" s="268"/>
      <c r="M438" s="268">
        <f>500+táj2!M438</f>
        <v>500</v>
      </c>
      <c r="N438" s="151"/>
      <c r="O438" s="151"/>
      <c r="P438" s="151"/>
      <c r="Q438" s="151">
        <f t="shared" si="34"/>
        <v>500</v>
      </c>
    </row>
    <row r="439" spans="1:17" ht="18" customHeight="1" x14ac:dyDescent="0.25">
      <c r="A439" s="199"/>
      <c r="B439" s="199"/>
      <c r="C439" s="188" t="s">
        <v>652</v>
      </c>
      <c r="D439" s="575" t="s">
        <v>1140</v>
      </c>
      <c r="E439" s="574"/>
      <c r="F439" s="585">
        <v>154544</v>
      </c>
      <c r="G439" s="151"/>
      <c r="H439" s="151"/>
      <c r="I439" s="268">
        <f>0+táj2!I439</f>
        <v>1000</v>
      </c>
      <c r="J439" s="268"/>
      <c r="K439" s="268"/>
      <c r="L439" s="268"/>
      <c r="M439" s="268">
        <f>1000+táj2!M439</f>
        <v>0</v>
      </c>
      <c r="N439" s="151"/>
      <c r="O439" s="151"/>
      <c r="P439" s="151"/>
      <c r="Q439" s="151">
        <f t="shared" si="34"/>
        <v>1000</v>
      </c>
    </row>
    <row r="440" spans="1:17" ht="18" customHeight="1" x14ac:dyDescent="0.25">
      <c r="A440" s="199"/>
      <c r="B440" s="199"/>
      <c r="C440" s="188" t="s">
        <v>653</v>
      </c>
      <c r="D440" s="575" t="s">
        <v>1141</v>
      </c>
      <c r="E440" s="577"/>
      <c r="F440" s="644">
        <v>154545</v>
      </c>
      <c r="G440" s="151"/>
      <c r="H440" s="151"/>
      <c r="I440" s="151"/>
      <c r="J440" s="151"/>
      <c r="K440" s="151"/>
      <c r="L440" s="268">
        <f>1000+táj2!L440</f>
        <v>1000</v>
      </c>
      <c r="M440" s="268"/>
      <c r="N440" s="151"/>
      <c r="O440" s="151"/>
      <c r="P440" s="151"/>
      <c r="Q440" s="151">
        <f t="shared" si="34"/>
        <v>1000</v>
      </c>
    </row>
    <row r="441" spans="1:17" ht="18" customHeight="1" x14ac:dyDescent="0.25">
      <c r="A441" s="641"/>
      <c r="B441" s="641"/>
      <c r="C441" s="188" t="s">
        <v>1243</v>
      </c>
      <c r="D441" s="643" t="s">
        <v>1245</v>
      </c>
      <c r="E441" s="647"/>
      <c r="F441" s="644">
        <v>152512</v>
      </c>
      <c r="G441" s="638"/>
      <c r="H441" s="638"/>
      <c r="I441" s="638"/>
      <c r="J441" s="638"/>
      <c r="K441" s="638"/>
      <c r="L441" s="268">
        <f>500+táj2!L441</f>
        <v>500</v>
      </c>
      <c r="M441" s="268"/>
      <c r="N441" s="638"/>
      <c r="O441" s="638"/>
      <c r="P441" s="638"/>
      <c r="Q441" s="638">
        <f t="shared" si="34"/>
        <v>500</v>
      </c>
    </row>
    <row r="442" spans="1:17" ht="18" customHeight="1" x14ac:dyDescent="0.25">
      <c r="A442" s="641"/>
      <c r="B442" s="641"/>
      <c r="C442" s="188" t="s">
        <v>1244</v>
      </c>
      <c r="D442" s="643" t="s">
        <v>1246</v>
      </c>
      <c r="E442" s="640"/>
      <c r="F442" s="644">
        <v>154514</v>
      </c>
      <c r="G442" s="638"/>
      <c r="H442" s="638"/>
      <c r="I442" s="638"/>
      <c r="J442" s="638"/>
      <c r="K442" s="638"/>
      <c r="L442" s="268"/>
      <c r="M442" s="268">
        <f>2000+táj2!M442</f>
        <v>2000</v>
      </c>
      <c r="N442" s="638"/>
      <c r="O442" s="638"/>
      <c r="P442" s="638"/>
      <c r="Q442" s="638">
        <f t="shared" si="34"/>
        <v>2000</v>
      </c>
    </row>
    <row r="443" spans="1:17" ht="25.5" customHeight="1" x14ac:dyDescent="0.25">
      <c r="A443" s="641"/>
      <c r="B443" s="641"/>
      <c r="C443" s="188" t="s">
        <v>1247</v>
      </c>
      <c r="D443" s="643" t="s">
        <v>1248</v>
      </c>
      <c r="E443" s="640"/>
      <c r="F443" s="644">
        <v>154517</v>
      </c>
      <c r="G443" s="638"/>
      <c r="H443" s="638"/>
      <c r="I443" s="638"/>
      <c r="J443" s="638"/>
      <c r="K443" s="638"/>
      <c r="L443" s="268"/>
      <c r="M443" s="268">
        <f>500+táj2!M443</f>
        <v>500</v>
      </c>
      <c r="N443" s="638"/>
      <c r="O443" s="638"/>
      <c r="P443" s="638"/>
      <c r="Q443" s="638">
        <f t="shared" si="34"/>
        <v>500</v>
      </c>
    </row>
    <row r="444" spans="1:17" ht="18" customHeight="1" x14ac:dyDescent="0.25">
      <c r="A444" s="199"/>
      <c r="B444" s="199"/>
      <c r="C444" s="199"/>
      <c r="D444" s="186" t="s">
        <v>1026</v>
      </c>
      <c r="E444" s="201"/>
      <c r="F444" s="202"/>
      <c r="G444" s="151"/>
      <c r="H444" s="151"/>
      <c r="I444" s="151"/>
      <c r="J444" s="151"/>
      <c r="K444" s="151"/>
      <c r="L444" s="268"/>
      <c r="M444" s="151"/>
      <c r="N444" s="151"/>
      <c r="O444" s="151"/>
      <c r="P444" s="151"/>
      <c r="Q444" s="151"/>
    </row>
    <row r="445" spans="1:17" ht="18" customHeight="1" x14ac:dyDescent="0.25">
      <c r="A445" s="199"/>
      <c r="B445" s="199"/>
      <c r="C445" s="233" t="s">
        <v>655</v>
      </c>
      <c r="D445" s="277" t="s">
        <v>657</v>
      </c>
      <c r="E445" s="279"/>
      <c r="F445" s="151">
        <v>152562</v>
      </c>
      <c r="G445" s="151"/>
      <c r="H445" s="151"/>
      <c r="I445" s="268">
        <f>775+táj2!I445</f>
        <v>775</v>
      </c>
      <c r="J445" s="268"/>
      <c r="K445" s="268"/>
      <c r="L445" s="268">
        <f>16433+táj2!L445</f>
        <v>16433</v>
      </c>
      <c r="M445" s="151"/>
      <c r="N445" s="151"/>
      <c r="O445" s="151"/>
      <c r="P445" s="151"/>
      <c r="Q445" s="151">
        <f>SUM(G445:P445)</f>
        <v>17208</v>
      </c>
    </row>
    <row r="446" spans="1:17" ht="18" customHeight="1" x14ac:dyDescent="0.25">
      <c r="A446" s="199"/>
      <c r="B446" s="199"/>
      <c r="C446" s="233" t="s">
        <v>656</v>
      </c>
      <c r="D446" s="381" t="s">
        <v>654</v>
      </c>
      <c r="E446" s="200"/>
      <c r="F446" s="151">
        <v>152571</v>
      </c>
      <c r="G446" s="151"/>
      <c r="H446" s="151"/>
      <c r="I446" s="151"/>
      <c r="J446" s="151"/>
      <c r="K446" s="151"/>
      <c r="L446" s="268">
        <f>24000+táj2!L446</f>
        <v>24000</v>
      </c>
      <c r="M446" s="151"/>
      <c r="N446" s="151"/>
      <c r="O446" s="151"/>
      <c r="P446" s="151"/>
      <c r="Q446" s="151">
        <f>SUM(G446:P446)</f>
        <v>24000</v>
      </c>
    </row>
    <row r="447" spans="1:17" ht="18" customHeight="1" x14ac:dyDescent="0.25">
      <c r="A447" s="199"/>
      <c r="B447" s="199"/>
      <c r="C447" s="233" t="s">
        <v>1107</v>
      </c>
      <c r="D447" s="397" t="s">
        <v>1232</v>
      </c>
      <c r="E447" s="200"/>
      <c r="F447" s="200">
        <v>152582</v>
      </c>
      <c r="G447" s="151"/>
      <c r="H447" s="151"/>
      <c r="I447" s="151"/>
      <c r="J447" s="151"/>
      <c r="K447" s="151"/>
      <c r="L447" s="268">
        <f>12211+táj2!L447</f>
        <v>12211</v>
      </c>
      <c r="M447" s="151"/>
      <c r="N447" s="151"/>
      <c r="O447" s="151"/>
      <c r="P447" s="151"/>
      <c r="Q447" s="151">
        <f>SUM(G447:P447)</f>
        <v>12211</v>
      </c>
    </row>
    <row r="448" spans="1:17" ht="18" customHeight="1" x14ac:dyDescent="0.25">
      <c r="A448" s="199"/>
      <c r="B448" s="199"/>
      <c r="C448" s="400" t="s">
        <v>83</v>
      </c>
      <c r="D448" s="389" t="s">
        <v>658</v>
      </c>
      <c r="E448" s="201"/>
      <c r="F448" s="202"/>
      <c r="G448" s="151"/>
      <c r="H448" s="151"/>
      <c r="I448" s="151"/>
      <c r="J448" s="151"/>
      <c r="K448" s="151"/>
      <c r="L448" s="268"/>
      <c r="M448" s="151"/>
      <c r="N448" s="151"/>
      <c r="O448" s="151"/>
      <c r="P448" s="151"/>
      <c r="Q448" s="151"/>
    </row>
    <row r="449" spans="1:17" ht="18" customHeight="1" x14ac:dyDescent="0.25">
      <c r="A449" s="199"/>
      <c r="B449" s="199"/>
      <c r="C449" s="393" t="s">
        <v>84</v>
      </c>
      <c r="D449" s="401" t="s">
        <v>659</v>
      </c>
      <c r="E449" s="201"/>
      <c r="F449" s="202"/>
      <c r="G449" s="151"/>
      <c r="H449" s="151"/>
      <c r="I449" s="151"/>
      <c r="J449" s="151"/>
      <c r="K449" s="151"/>
      <c r="L449" s="268"/>
      <c r="M449" s="151"/>
      <c r="N449" s="151"/>
      <c r="O449" s="151"/>
      <c r="P449" s="151"/>
      <c r="Q449" s="151"/>
    </row>
    <row r="450" spans="1:17" ht="18" customHeight="1" x14ac:dyDescent="0.25">
      <c r="A450" s="199"/>
      <c r="B450" s="199"/>
      <c r="C450" s="231" t="s">
        <v>922</v>
      </c>
      <c r="D450" s="402" t="s">
        <v>660</v>
      </c>
      <c r="E450" s="201"/>
      <c r="F450" s="151">
        <v>152801</v>
      </c>
      <c r="G450" s="151"/>
      <c r="H450" s="151"/>
      <c r="I450" s="151"/>
      <c r="J450" s="151"/>
      <c r="K450" s="151"/>
      <c r="L450" s="268">
        <f>12264+táj2!L450</f>
        <v>12264</v>
      </c>
      <c r="M450" s="151"/>
      <c r="N450" s="151"/>
      <c r="O450" s="151"/>
      <c r="P450" s="151"/>
      <c r="Q450" s="151">
        <f>SUM(G450:P450)</f>
        <v>12264</v>
      </c>
    </row>
    <row r="451" spans="1:17" ht="18" customHeight="1" x14ac:dyDescent="0.25">
      <c r="A451" s="199"/>
      <c r="B451" s="199"/>
      <c r="C451" s="403" t="s">
        <v>85</v>
      </c>
      <c r="D451" s="371" t="s">
        <v>661</v>
      </c>
      <c r="E451" s="200"/>
      <c r="F451" s="151"/>
      <c r="G451" s="151"/>
      <c r="H451" s="151"/>
      <c r="I451" s="151"/>
      <c r="J451" s="151"/>
      <c r="K451" s="151"/>
      <c r="L451" s="268"/>
      <c r="M451" s="151"/>
      <c r="N451" s="151"/>
      <c r="O451" s="151"/>
      <c r="P451" s="151"/>
      <c r="Q451" s="151"/>
    </row>
    <row r="452" spans="1:17" ht="18" customHeight="1" x14ac:dyDescent="0.25">
      <c r="A452" s="199"/>
      <c r="B452" s="199"/>
      <c r="C452" s="234" t="s">
        <v>662</v>
      </c>
      <c r="D452" s="579" t="s">
        <v>1142</v>
      </c>
      <c r="F452" s="151">
        <v>152910</v>
      </c>
      <c r="G452" s="151"/>
      <c r="H452" s="151"/>
      <c r="I452" s="151"/>
      <c r="J452" s="151"/>
      <c r="K452" s="151"/>
      <c r="L452" s="268">
        <f>1000+táj2!L452</f>
        <v>1085</v>
      </c>
      <c r="M452" s="151"/>
      <c r="N452" s="151"/>
      <c r="O452" s="151"/>
      <c r="P452" s="151"/>
      <c r="Q452" s="151">
        <f>SUM(G452:P452)</f>
        <v>1085</v>
      </c>
    </row>
    <row r="453" spans="1:17" ht="18" customHeight="1" x14ac:dyDescent="0.25">
      <c r="A453" s="641"/>
      <c r="B453" s="641"/>
      <c r="C453" s="234" t="s">
        <v>663</v>
      </c>
      <c r="D453" s="705" t="s">
        <v>1259</v>
      </c>
      <c r="F453" s="638">
        <v>154907</v>
      </c>
      <c r="G453" s="638"/>
      <c r="H453" s="638"/>
      <c r="I453" s="638"/>
      <c r="J453" s="638"/>
      <c r="K453" s="638"/>
      <c r="L453" s="268"/>
      <c r="M453" s="268"/>
      <c r="N453" s="268">
        <f>2000+táj2!N453</f>
        <v>2000</v>
      </c>
      <c r="O453" s="638"/>
      <c r="P453" s="638"/>
      <c r="Q453" s="151">
        <f>SUM(G453:P453)</f>
        <v>2000</v>
      </c>
    </row>
    <row r="454" spans="1:17" ht="18" customHeight="1" x14ac:dyDescent="0.25">
      <c r="A454" s="199"/>
      <c r="B454" s="199"/>
      <c r="C454" s="217"/>
      <c r="D454" s="186" t="s">
        <v>1026</v>
      </c>
      <c r="E454" s="200"/>
      <c r="F454" s="151"/>
      <c r="G454" s="151"/>
      <c r="H454" s="151"/>
      <c r="I454" s="151"/>
      <c r="J454" s="151"/>
      <c r="K454" s="151"/>
      <c r="L454" s="268"/>
      <c r="M454" s="151"/>
      <c r="N454" s="151"/>
      <c r="O454" s="151"/>
      <c r="P454" s="151"/>
      <c r="Q454" s="151"/>
    </row>
    <row r="455" spans="1:17" ht="25.5" customHeight="1" x14ac:dyDescent="0.25">
      <c r="A455" s="199"/>
      <c r="B455" s="199"/>
      <c r="C455" s="188" t="s">
        <v>665</v>
      </c>
      <c r="D455" s="404" t="s">
        <v>923</v>
      </c>
      <c r="E455" s="200"/>
      <c r="F455" s="151">
        <v>152937</v>
      </c>
      <c r="G455" s="151"/>
      <c r="H455" s="151"/>
      <c r="I455" s="151"/>
      <c r="J455" s="151"/>
      <c r="K455" s="151"/>
      <c r="L455" s="268">
        <f>13615+táj2!L455</f>
        <v>13615</v>
      </c>
      <c r="M455" s="151"/>
      <c r="N455" s="151"/>
      <c r="O455" s="151"/>
      <c r="P455" s="151"/>
      <c r="Q455" s="151">
        <f t="shared" ref="Q455:Q458" si="35">SUM(G455:P455)</f>
        <v>13615</v>
      </c>
    </row>
    <row r="456" spans="1:17" ht="17.100000000000001" customHeight="1" x14ac:dyDescent="0.25">
      <c r="A456" s="199"/>
      <c r="B456" s="199"/>
      <c r="C456" s="188" t="s">
        <v>666</v>
      </c>
      <c r="D456" s="277" t="s">
        <v>668</v>
      </c>
      <c r="E456" s="200"/>
      <c r="F456" s="151">
        <v>152942</v>
      </c>
      <c r="G456" s="151"/>
      <c r="H456" s="151"/>
      <c r="I456" s="268">
        <f>248+táj2!I456</f>
        <v>248</v>
      </c>
      <c r="J456" s="268">
        <f>4984+táj2!J456</f>
        <v>0</v>
      </c>
      <c r="K456" s="268"/>
      <c r="L456" s="268">
        <f>0+táj2!L456</f>
        <v>4984</v>
      </c>
      <c r="M456" s="151"/>
      <c r="N456" s="151"/>
      <c r="O456" s="151"/>
      <c r="P456" s="151"/>
      <c r="Q456" s="151">
        <f t="shared" si="35"/>
        <v>5232</v>
      </c>
    </row>
    <row r="457" spans="1:17" ht="17.100000000000001" customHeight="1" x14ac:dyDescent="0.25">
      <c r="A457" s="199"/>
      <c r="B457" s="199"/>
      <c r="C457" s="188" t="s">
        <v>667</v>
      </c>
      <c r="D457" s="363" t="s">
        <v>664</v>
      </c>
      <c r="E457" s="200"/>
      <c r="F457" s="151">
        <v>152947</v>
      </c>
      <c r="G457" s="151"/>
      <c r="H457" s="151"/>
      <c r="I457" s="151"/>
      <c r="J457" s="151"/>
      <c r="K457" s="151"/>
      <c r="L457" s="268">
        <f>2500+táj2!L457</f>
        <v>2500</v>
      </c>
      <c r="M457" s="151"/>
      <c r="N457" s="151"/>
      <c r="O457" s="151"/>
      <c r="P457" s="151"/>
      <c r="Q457" s="151">
        <f t="shared" si="35"/>
        <v>2500</v>
      </c>
    </row>
    <row r="458" spans="1:17" ht="17.100000000000001" customHeight="1" x14ac:dyDescent="0.25">
      <c r="A458" s="199"/>
      <c r="B458" s="199"/>
      <c r="C458" s="188" t="s">
        <v>669</v>
      </c>
      <c r="D458" s="669" t="s">
        <v>1069</v>
      </c>
      <c r="E458" s="200"/>
      <c r="F458" s="200">
        <v>152950</v>
      </c>
      <c r="G458" s="151"/>
      <c r="H458" s="151"/>
      <c r="I458" s="151"/>
      <c r="J458" s="151"/>
      <c r="K458" s="151"/>
      <c r="L458" s="268">
        <f>5816+táj2!L458</f>
        <v>5816</v>
      </c>
      <c r="M458" s="151"/>
      <c r="N458" s="151"/>
      <c r="O458" s="151"/>
      <c r="P458" s="151"/>
      <c r="Q458" s="151">
        <f t="shared" si="35"/>
        <v>5816</v>
      </c>
    </row>
    <row r="459" spans="1:17" ht="20.25" customHeight="1" x14ac:dyDescent="0.25">
      <c r="A459" s="194"/>
      <c r="B459" s="194"/>
      <c r="C459" s="195"/>
      <c r="D459" s="846" t="s">
        <v>673</v>
      </c>
      <c r="E459" s="847"/>
      <c r="F459" s="198"/>
      <c r="G459" s="198">
        <f t="shared" ref="G459:Q459" si="36">SUM(G343:G458)</f>
        <v>8930</v>
      </c>
      <c r="H459" s="198">
        <f t="shared" si="36"/>
        <v>1200</v>
      </c>
      <c r="I459" s="198">
        <f t="shared" si="36"/>
        <v>1973676</v>
      </c>
      <c r="J459" s="198">
        <f t="shared" si="36"/>
        <v>0</v>
      </c>
      <c r="K459" s="198">
        <f t="shared" si="36"/>
        <v>637320</v>
      </c>
      <c r="L459" s="198">
        <f t="shared" si="36"/>
        <v>250793</v>
      </c>
      <c r="M459" s="198">
        <f t="shared" si="36"/>
        <v>246903</v>
      </c>
      <c r="N459" s="198">
        <f t="shared" si="36"/>
        <v>2000</v>
      </c>
      <c r="O459" s="198">
        <f t="shared" si="36"/>
        <v>0</v>
      </c>
      <c r="P459" s="198">
        <f t="shared" si="36"/>
        <v>0</v>
      </c>
      <c r="Q459" s="198">
        <f t="shared" si="36"/>
        <v>3120822</v>
      </c>
    </row>
    <row r="460" spans="1:17" ht="15" customHeight="1" x14ac:dyDescent="0.25">
      <c r="A460" s="172">
        <v>1</v>
      </c>
      <c r="B460" s="172">
        <v>16</v>
      </c>
      <c r="C460" s="188"/>
      <c r="D460" s="221" t="s">
        <v>674</v>
      </c>
      <c r="E460" s="200"/>
      <c r="F460" s="151"/>
      <c r="G460" s="151"/>
      <c r="H460" s="177"/>
      <c r="I460" s="177"/>
      <c r="J460" s="177"/>
      <c r="K460" s="177"/>
      <c r="L460" s="177"/>
      <c r="M460" s="151"/>
      <c r="N460" s="151"/>
      <c r="O460" s="151"/>
      <c r="P460" s="151"/>
      <c r="Q460" s="151"/>
    </row>
    <row r="461" spans="1:17" ht="15" customHeight="1" x14ac:dyDescent="0.25">
      <c r="A461" s="172"/>
      <c r="B461" s="172"/>
      <c r="C461" s="188"/>
      <c r="D461" s="189" t="s">
        <v>225</v>
      </c>
      <c r="E461" s="200"/>
      <c r="F461" s="151"/>
      <c r="G461" s="151"/>
      <c r="H461" s="177"/>
      <c r="I461" s="177"/>
      <c r="J461" s="177"/>
      <c r="K461" s="177"/>
      <c r="L461" s="177"/>
      <c r="M461" s="151"/>
      <c r="N461" s="151"/>
      <c r="O461" s="151"/>
      <c r="P461" s="151"/>
      <c r="Q461" s="151"/>
    </row>
    <row r="462" spans="1:17" ht="15" customHeight="1" x14ac:dyDescent="0.25">
      <c r="A462" s="172"/>
      <c r="B462" s="172"/>
      <c r="C462" s="188"/>
      <c r="D462" s="186" t="s">
        <v>675</v>
      </c>
      <c r="E462" s="151">
        <v>2</v>
      </c>
      <c r="F462" s="151">
        <v>161910</v>
      </c>
      <c r="G462" s="151"/>
      <c r="H462" s="151"/>
      <c r="I462" s="151">
        <f>3500+táj2!I462</f>
        <v>3500</v>
      </c>
      <c r="J462" s="151"/>
      <c r="K462" s="151"/>
      <c r="L462" s="151"/>
      <c r="M462" s="151"/>
      <c r="N462" s="151"/>
      <c r="O462" s="151"/>
      <c r="P462" s="151"/>
      <c r="Q462" s="151">
        <f t="shared" ref="Q462:Q465" si="37">SUM(G462:P462)</f>
        <v>3500</v>
      </c>
    </row>
    <row r="463" spans="1:17" ht="15" customHeight="1" x14ac:dyDescent="0.25">
      <c r="A463" s="172"/>
      <c r="B463" s="172"/>
      <c r="C463" s="188"/>
      <c r="D463" s="186" t="s">
        <v>676</v>
      </c>
      <c r="E463" s="151">
        <v>1</v>
      </c>
      <c r="F463" s="151">
        <v>161908</v>
      </c>
      <c r="G463" s="151"/>
      <c r="H463" s="151"/>
      <c r="I463" s="151">
        <f>11867+táj2!I463</f>
        <v>16189</v>
      </c>
      <c r="J463" s="151"/>
      <c r="K463" s="151"/>
      <c r="L463" s="151"/>
      <c r="M463" s="151"/>
      <c r="N463" s="151"/>
      <c r="O463" s="151"/>
      <c r="P463" s="151"/>
      <c r="Q463" s="151">
        <f t="shared" si="37"/>
        <v>16189</v>
      </c>
    </row>
    <row r="464" spans="1:17" ht="29.25" customHeight="1" x14ac:dyDescent="0.25">
      <c r="A464" s="172"/>
      <c r="B464" s="172"/>
      <c r="C464" s="188"/>
      <c r="D464" s="193" t="s">
        <v>677</v>
      </c>
      <c r="E464" s="151">
        <v>2</v>
      </c>
      <c r="F464" s="151">
        <v>161911</v>
      </c>
      <c r="G464" s="151"/>
      <c r="H464" s="151"/>
      <c r="I464" s="151">
        <f>11662+táj2!I464</f>
        <v>11662</v>
      </c>
      <c r="J464" s="151"/>
      <c r="K464" s="151"/>
      <c r="L464" s="151"/>
      <c r="M464" s="151"/>
      <c r="N464" s="151"/>
      <c r="O464" s="151"/>
      <c r="P464" s="151"/>
      <c r="Q464" s="151">
        <f t="shared" si="37"/>
        <v>11662</v>
      </c>
    </row>
    <row r="465" spans="1:17" ht="24" customHeight="1" x14ac:dyDescent="0.25">
      <c r="A465" s="172"/>
      <c r="B465" s="172"/>
      <c r="C465" s="188"/>
      <c r="D465" s="205" t="s">
        <v>678</v>
      </c>
      <c r="E465" s="151">
        <v>2</v>
      </c>
      <c r="F465" s="151">
        <v>161904</v>
      </c>
      <c r="G465" s="151"/>
      <c r="H465" s="151"/>
      <c r="I465" s="151">
        <f>7585+táj2!I465</f>
        <v>7585</v>
      </c>
      <c r="J465" s="151"/>
      <c r="K465" s="151"/>
      <c r="L465" s="151"/>
      <c r="M465" s="151"/>
      <c r="N465" s="151"/>
      <c r="O465" s="151"/>
      <c r="P465" s="151"/>
      <c r="Q465" s="151">
        <f t="shared" si="37"/>
        <v>7585</v>
      </c>
    </row>
    <row r="466" spans="1:17" ht="14.1" customHeight="1" x14ac:dyDescent="0.25">
      <c r="A466" s="172"/>
      <c r="B466" s="172"/>
      <c r="C466" s="188"/>
      <c r="D466" s="185" t="s">
        <v>239</v>
      </c>
      <c r="E466" s="236"/>
      <c r="F466" s="151"/>
      <c r="G466" s="151"/>
      <c r="H466" s="177"/>
      <c r="I466" s="151"/>
      <c r="J466" s="177"/>
      <c r="K466" s="177"/>
      <c r="L466" s="177"/>
      <c r="M466" s="151"/>
      <c r="N466" s="151"/>
      <c r="O466" s="151"/>
      <c r="P466" s="151"/>
      <c r="Q466" s="151"/>
    </row>
    <row r="467" spans="1:17" ht="14.1" customHeight="1" x14ac:dyDescent="0.25">
      <c r="A467" s="172"/>
      <c r="B467" s="172"/>
      <c r="C467" s="188"/>
      <c r="D467" s="405" t="s">
        <v>679</v>
      </c>
      <c r="E467" s="151">
        <v>2</v>
      </c>
      <c r="F467" s="151">
        <v>151606</v>
      </c>
      <c r="G467" s="151"/>
      <c r="H467" s="151"/>
      <c r="I467" s="151"/>
      <c r="J467" s="151"/>
      <c r="K467" s="151">
        <f>900+táj2!K467</f>
        <v>1050</v>
      </c>
      <c r="L467" s="151"/>
      <c r="M467" s="151"/>
      <c r="N467" s="151">
        <f>50+táj2!N467</f>
        <v>150</v>
      </c>
      <c r="O467" s="151"/>
      <c r="P467" s="151"/>
      <c r="Q467" s="151">
        <f>SUM(G467:P467)</f>
        <v>1200</v>
      </c>
    </row>
    <row r="468" spans="1:17" ht="16.5" customHeight="1" x14ac:dyDescent="0.25">
      <c r="A468" s="172"/>
      <c r="B468" s="172"/>
      <c r="C468" s="188"/>
      <c r="D468" s="185" t="s">
        <v>575</v>
      </c>
      <c r="E468" s="236"/>
      <c r="F468" s="151"/>
      <c r="G468" s="151"/>
      <c r="H468" s="177"/>
      <c r="I468" s="151"/>
      <c r="J468" s="177"/>
      <c r="K468" s="177"/>
      <c r="L468" s="177"/>
      <c r="M468" s="151"/>
      <c r="N468" s="151"/>
      <c r="O468" s="151"/>
      <c r="P468" s="151"/>
      <c r="Q468" s="151"/>
    </row>
    <row r="469" spans="1:17" ht="24" customHeight="1" x14ac:dyDescent="0.25">
      <c r="A469" s="172"/>
      <c r="B469" s="172"/>
      <c r="C469" s="188"/>
      <c r="D469" s="205" t="s">
        <v>1234</v>
      </c>
      <c r="E469" s="151">
        <v>2</v>
      </c>
      <c r="F469" s="151">
        <v>151203</v>
      </c>
      <c r="G469" s="151"/>
      <c r="H469" s="151"/>
      <c r="I469" s="151">
        <f>11331+táj2!I469</f>
        <v>11331</v>
      </c>
      <c r="J469" s="151"/>
      <c r="K469" s="151"/>
      <c r="L469" s="151"/>
      <c r="M469" s="151"/>
      <c r="N469" s="151"/>
      <c r="O469" s="151"/>
      <c r="P469" s="151"/>
      <c r="Q469" s="151">
        <f>SUM(G469:P469)</f>
        <v>11331</v>
      </c>
    </row>
    <row r="470" spans="1:17" ht="14.1" customHeight="1" x14ac:dyDescent="0.25">
      <c r="A470" s="237"/>
      <c r="B470" s="237"/>
      <c r="C470" s="238"/>
      <c r="D470" s="385" t="s">
        <v>680</v>
      </c>
      <c r="E470" s="226"/>
      <c r="F470" s="228"/>
      <c r="G470" s="228">
        <f t="shared" ref="G470:Q470" si="38">SUM(G462:G469)</f>
        <v>0</v>
      </c>
      <c r="H470" s="228">
        <f t="shared" si="38"/>
        <v>0</v>
      </c>
      <c r="I470" s="228">
        <f t="shared" si="38"/>
        <v>50267</v>
      </c>
      <c r="J470" s="228">
        <f t="shared" si="38"/>
        <v>0</v>
      </c>
      <c r="K470" s="228">
        <f t="shared" si="38"/>
        <v>1050</v>
      </c>
      <c r="L470" s="228">
        <f t="shared" si="38"/>
        <v>0</v>
      </c>
      <c r="M470" s="228">
        <f t="shared" si="38"/>
        <v>0</v>
      </c>
      <c r="N470" s="228">
        <f t="shared" si="38"/>
        <v>150</v>
      </c>
      <c r="O470" s="228">
        <f t="shared" si="38"/>
        <v>0</v>
      </c>
      <c r="P470" s="228">
        <f t="shared" si="38"/>
        <v>0</v>
      </c>
      <c r="Q470" s="228">
        <f t="shared" si="38"/>
        <v>51467</v>
      </c>
    </row>
    <row r="471" spans="1:17" ht="14.1" customHeight="1" x14ac:dyDescent="0.25">
      <c r="A471" s="172"/>
      <c r="B471" s="172"/>
      <c r="C471" s="188"/>
      <c r="D471" s="218" t="s">
        <v>681</v>
      </c>
      <c r="E471" s="200"/>
      <c r="F471" s="151"/>
      <c r="G471" s="177"/>
      <c r="H471" s="177"/>
      <c r="I471" s="177"/>
      <c r="J471" s="151"/>
      <c r="K471" s="151"/>
      <c r="L471" s="151"/>
      <c r="M471" s="151"/>
      <c r="N471" s="151"/>
      <c r="O471" s="151"/>
      <c r="P471" s="151"/>
      <c r="Q471" s="151"/>
    </row>
    <row r="472" spans="1:17" ht="17.25" customHeight="1" x14ac:dyDescent="0.25">
      <c r="A472" s="172"/>
      <c r="B472" s="172"/>
      <c r="C472" s="406" t="s">
        <v>92</v>
      </c>
      <c r="D472" s="407" t="s">
        <v>588</v>
      </c>
      <c r="E472" s="200"/>
      <c r="F472" s="151"/>
      <c r="G472" s="177"/>
      <c r="H472" s="177"/>
      <c r="I472" s="177"/>
      <c r="J472" s="151"/>
      <c r="K472" s="151"/>
      <c r="L472" s="151"/>
      <c r="M472" s="151"/>
      <c r="N472" s="151"/>
      <c r="O472" s="151"/>
      <c r="P472" s="151"/>
      <c r="Q472" s="151"/>
    </row>
    <row r="473" spans="1:17" ht="17.25" customHeight="1" x14ac:dyDescent="0.25">
      <c r="A473" s="172"/>
      <c r="B473" s="172"/>
      <c r="C473" s="408" t="s">
        <v>353</v>
      </c>
      <c r="D473" s="670" t="s">
        <v>682</v>
      </c>
      <c r="E473" s="200"/>
      <c r="F473" s="200">
        <v>164106</v>
      </c>
      <c r="G473" s="177"/>
      <c r="H473" s="177"/>
      <c r="I473" s="177">
        <f>100919+táj2!I473</f>
        <v>100919</v>
      </c>
      <c r="J473" s="177"/>
      <c r="K473" s="177"/>
      <c r="L473" s="177">
        <f>18948+táj2!L473</f>
        <v>18948</v>
      </c>
      <c r="M473" s="177">
        <f>276212+táj2!M473</f>
        <v>276212</v>
      </c>
      <c r="N473" s="177"/>
      <c r="O473" s="177"/>
      <c r="P473" s="177"/>
      <c r="Q473" s="151">
        <f>SUM(G473:P473)</f>
        <v>396079</v>
      </c>
    </row>
    <row r="474" spans="1:17" ht="21" customHeight="1" x14ac:dyDescent="0.25">
      <c r="A474" s="172"/>
      <c r="B474" s="172"/>
      <c r="C474" s="408" t="s">
        <v>589</v>
      </c>
      <c r="D474" s="409" t="s">
        <v>924</v>
      </c>
      <c r="E474" s="200"/>
      <c r="F474" s="200">
        <v>161909</v>
      </c>
      <c r="G474" s="177"/>
      <c r="H474" s="177"/>
      <c r="I474" s="177"/>
      <c r="J474" s="177"/>
      <c r="K474" s="177"/>
      <c r="L474" s="177">
        <f>34322+táj2!L474</f>
        <v>34322</v>
      </c>
      <c r="M474" s="177"/>
      <c r="N474" s="177"/>
      <c r="O474" s="177"/>
      <c r="P474" s="177"/>
      <c r="Q474" s="151">
        <f>SUM(G474:P474)</f>
        <v>34322</v>
      </c>
    </row>
    <row r="475" spans="1:17" ht="30" customHeight="1" x14ac:dyDescent="0.25">
      <c r="A475" s="507"/>
      <c r="B475" s="507"/>
      <c r="C475" s="408" t="s">
        <v>590</v>
      </c>
      <c r="D475" s="607" t="s">
        <v>1223</v>
      </c>
      <c r="E475" s="562"/>
      <c r="F475" s="565">
        <v>164207</v>
      </c>
      <c r="G475" s="563"/>
      <c r="H475" s="563"/>
      <c r="I475" s="177">
        <f>37858+táj2!I475</f>
        <v>61226</v>
      </c>
      <c r="J475" s="563"/>
      <c r="K475" s="563"/>
      <c r="L475" s="177">
        <f>247650+táj2!L475</f>
        <v>0</v>
      </c>
      <c r="M475" s="177">
        <f>570408+táj2!M475</f>
        <v>794690</v>
      </c>
      <c r="N475" s="563"/>
      <c r="O475" s="563"/>
      <c r="P475" s="563"/>
      <c r="Q475" s="151">
        <f>SUM(G475:P475)</f>
        <v>855916</v>
      </c>
    </row>
    <row r="476" spans="1:17" ht="17.399999999999999" customHeight="1" x14ac:dyDescent="0.25">
      <c r="A476" s="507"/>
      <c r="B476" s="507"/>
      <c r="C476" s="408" t="s">
        <v>592</v>
      </c>
      <c r="D476" s="580" t="s">
        <v>1186</v>
      </c>
      <c r="E476" s="574"/>
      <c r="F476" s="585">
        <v>162141</v>
      </c>
      <c r="G476" s="563"/>
      <c r="H476" s="563"/>
      <c r="I476" s="563"/>
      <c r="J476" s="563"/>
      <c r="K476" s="563"/>
      <c r="L476" s="177">
        <f>1000+táj2!L476</f>
        <v>1000</v>
      </c>
      <c r="M476" s="563"/>
      <c r="N476" s="563"/>
      <c r="O476" s="563"/>
      <c r="P476" s="563"/>
      <c r="Q476" s="151">
        <f t="shared" ref="Q476:Q477" si="39">SUM(G476:P476)</f>
        <v>1000</v>
      </c>
    </row>
    <row r="477" spans="1:17" ht="20.25" customHeight="1" x14ac:dyDescent="0.25">
      <c r="A477" s="507"/>
      <c r="B477" s="507"/>
      <c r="C477" s="408" t="s">
        <v>1188</v>
      </c>
      <c r="D477" s="580" t="s">
        <v>1187</v>
      </c>
      <c r="E477" s="574"/>
      <c r="F477" s="585">
        <v>162169</v>
      </c>
      <c r="G477" s="563"/>
      <c r="H477" s="563"/>
      <c r="I477" s="563"/>
      <c r="J477" s="563"/>
      <c r="K477" s="563"/>
      <c r="L477" s="177">
        <f>1000+táj2!L477</f>
        <v>1000</v>
      </c>
      <c r="M477" s="563"/>
      <c r="N477" s="563"/>
      <c r="O477" s="563"/>
      <c r="P477" s="563"/>
      <c r="Q477" s="151">
        <f t="shared" si="39"/>
        <v>1000</v>
      </c>
    </row>
    <row r="478" spans="1:17" ht="14.1" customHeight="1" x14ac:dyDescent="0.25">
      <c r="A478" s="172"/>
      <c r="B478" s="172"/>
      <c r="C478" s="188"/>
      <c r="D478" s="186" t="s">
        <v>1026</v>
      </c>
      <c r="E478" s="200"/>
      <c r="F478" s="555"/>
      <c r="G478" s="177"/>
      <c r="H478" s="177"/>
      <c r="I478" s="177"/>
      <c r="J478" s="177"/>
      <c r="K478" s="177"/>
      <c r="L478" s="177"/>
      <c r="M478" s="177"/>
      <c r="N478" s="177"/>
      <c r="O478" s="177"/>
      <c r="P478" s="177"/>
      <c r="Q478" s="151"/>
    </row>
    <row r="479" spans="1:17" ht="21" customHeight="1" x14ac:dyDescent="0.25">
      <c r="A479" s="172"/>
      <c r="B479" s="172"/>
      <c r="C479" s="188" t="s">
        <v>355</v>
      </c>
      <c r="D479" s="369" t="s">
        <v>683</v>
      </c>
      <c r="E479" s="200"/>
      <c r="F479" s="555">
        <v>162107</v>
      </c>
      <c r="G479" s="177"/>
      <c r="H479" s="177"/>
      <c r="I479" s="177"/>
      <c r="J479" s="177"/>
      <c r="K479" s="177"/>
      <c r="L479" s="177">
        <f>3179+táj2!L479</f>
        <v>3179</v>
      </c>
      <c r="M479" s="177"/>
      <c r="N479" s="177"/>
      <c r="O479" s="177"/>
      <c r="P479" s="177"/>
      <c r="Q479" s="151">
        <f>SUM(G479:P479)</f>
        <v>3179</v>
      </c>
    </row>
    <row r="480" spans="1:17" ht="19.95" customHeight="1" x14ac:dyDescent="0.25">
      <c r="A480" s="172"/>
      <c r="B480" s="172"/>
      <c r="C480" s="389" t="s">
        <v>91</v>
      </c>
      <c r="D480" s="389" t="s">
        <v>599</v>
      </c>
      <c r="E480" s="200"/>
      <c r="F480" s="555"/>
      <c r="G480" s="177"/>
      <c r="H480" s="177"/>
      <c r="I480" s="177"/>
      <c r="J480" s="177"/>
      <c r="K480" s="177"/>
      <c r="L480" s="177"/>
      <c r="M480" s="177"/>
      <c r="N480" s="177"/>
      <c r="O480" s="177"/>
      <c r="P480" s="177"/>
      <c r="Q480" s="151"/>
    </row>
    <row r="481" spans="1:17" ht="16.5" customHeight="1" x14ac:dyDescent="0.25">
      <c r="A481" s="172"/>
      <c r="B481" s="172"/>
      <c r="C481" s="671" t="s">
        <v>474</v>
      </c>
      <c r="D481" s="672" t="s">
        <v>684</v>
      </c>
      <c r="E481" s="555"/>
      <c r="F481" s="555">
        <v>164204</v>
      </c>
      <c r="G481" s="556"/>
      <c r="H481" s="556"/>
      <c r="I481" s="177">
        <f>39953+táj2!I481</f>
        <v>39953</v>
      </c>
      <c r="J481" s="177"/>
      <c r="K481" s="177"/>
      <c r="L481" s="177">
        <f>3544+táj2!L481</f>
        <v>3544</v>
      </c>
      <c r="M481" s="177">
        <f>111766+táj2!M481</f>
        <v>111766</v>
      </c>
      <c r="N481" s="556"/>
      <c r="O481" s="556"/>
      <c r="P481" s="556"/>
      <c r="Q481" s="268">
        <f>SUM(G481:P481)</f>
        <v>155263</v>
      </c>
    </row>
    <row r="482" spans="1:17" ht="18" customHeight="1" x14ac:dyDescent="0.25">
      <c r="A482" s="172"/>
      <c r="B482" s="172"/>
      <c r="C482" s="671" t="s">
        <v>475</v>
      </c>
      <c r="D482" s="848" t="s">
        <v>1207</v>
      </c>
      <c r="E482" s="849"/>
      <c r="F482" s="555">
        <v>164109</v>
      </c>
      <c r="G482" s="556"/>
      <c r="H482" s="556"/>
      <c r="I482" s="556"/>
      <c r="J482" s="556"/>
      <c r="K482" s="556"/>
      <c r="L482" s="177"/>
      <c r="M482" s="177">
        <f>115951+táj2!M482</f>
        <v>115951</v>
      </c>
      <c r="N482" s="556"/>
      <c r="O482" s="556"/>
      <c r="P482" s="556"/>
      <c r="Q482" s="268">
        <f>SUM(G482:P482)</f>
        <v>115951</v>
      </c>
    </row>
    <row r="483" spans="1:17" ht="18" customHeight="1" x14ac:dyDescent="0.25">
      <c r="A483" s="507"/>
      <c r="B483" s="507"/>
      <c r="C483" s="671" t="s">
        <v>865</v>
      </c>
      <c r="D483" s="674" t="s">
        <v>1185</v>
      </c>
      <c r="E483" s="591"/>
      <c r="F483" s="555">
        <v>162221</v>
      </c>
      <c r="G483" s="600"/>
      <c r="H483" s="600"/>
      <c r="I483" s="600"/>
      <c r="J483" s="600"/>
      <c r="K483" s="600"/>
      <c r="L483" s="177">
        <f>11500+táj2!L483</f>
        <v>7200</v>
      </c>
      <c r="M483" s="600"/>
      <c r="N483" s="600"/>
      <c r="O483" s="600"/>
      <c r="P483" s="600"/>
      <c r="Q483" s="268">
        <f>SUM(G483:P483)</f>
        <v>7200</v>
      </c>
    </row>
    <row r="484" spans="1:17" ht="16.5" customHeight="1" x14ac:dyDescent="0.25">
      <c r="A484" s="172"/>
      <c r="B484" s="172"/>
      <c r="C484" s="675"/>
      <c r="D484" s="566" t="s">
        <v>1026</v>
      </c>
      <c r="E484" s="555"/>
      <c r="F484" s="555"/>
      <c r="G484" s="556"/>
      <c r="H484" s="556"/>
      <c r="I484" s="556"/>
      <c r="J484" s="556"/>
      <c r="K484" s="556"/>
      <c r="L484" s="177"/>
      <c r="M484" s="556"/>
      <c r="N484" s="556"/>
      <c r="O484" s="556"/>
      <c r="P484" s="556"/>
      <c r="Q484" s="268"/>
    </row>
    <row r="485" spans="1:17" ht="27" customHeight="1" x14ac:dyDescent="0.25">
      <c r="A485" s="172"/>
      <c r="B485" s="172"/>
      <c r="C485" s="675" t="s">
        <v>685</v>
      </c>
      <c r="D485" s="676" t="s">
        <v>686</v>
      </c>
      <c r="E485" s="555"/>
      <c r="F485" s="555">
        <v>164205</v>
      </c>
      <c r="G485" s="556"/>
      <c r="H485" s="556"/>
      <c r="I485" s="177">
        <f>43433+táj2!I485</f>
        <v>43433</v>
      </c>
      <c r="J485" s="177"/>
      <c r="K485" s="177"/>
      <c r="L485" s="177">
        <f>240657+táj2!L485</f>
        <v>240657</v>
      </c>
      <c r="M485" s="556"/>
      <c r="N485" s="556"/>
      <c r="O485" s="556"/>
      <c r="P485" s="556"/>
      <c r="Q485" s="268">
        <f>SUM(G485:P485)</f>
        <v>284090</v>
      </c>
    </row>
    <row r="486" spans="1:17" ht="28.5" customHeight="1" x14ac:dyDescent="0.25">
      <c r="A486" s="172"/>
      <c r="B486" s="172"/>
      <c r="C486" s="675" t="s">
        <v>687</v>
      </c>
      <c r="D486" s="676" t="s">
        <v>688</v>
      </c>
      <c r="E486" s="555"/>
      <c r="F486" s="555">
        <v>164206</v>
      </c>
      <c r="G486" s="556"/>
      <c r="H486" s="556"/>
      <c r="I486" s="177">
        <f>635+táj2!I486</f>
        <v>635</v>
      </c>
      <c r="J486" s="556"/>
      <c r="K486" s="556"/>
      <c r="L486" s="177">
        <f>2316+táj2!L486</f>
        <v>2316</v>
      </c>
      <c r="M486" s="556"/>
      <c r="N486" s="556"/>
      <c r="O486" s="556"/>
      <c r="P486" s="556"/>
      <c r="Q486" s="268">
        <f>SUM(G486:P486)</f>
        <v>2951</v>
      </c>
    </row>
    <row r="487" spans="1:17" ht="18.600000000000001" customHeight="1" x14ac:dyDescent="0.25">
      <c r="A487" s="172"/>
      <c r="B487" s="172"/>
      <c r="C487" s="188" t="s">
        <v>1070</v>
      </c>
      <c r="D487" s="850" t="s">
        <v>925</v>
      </c>
      <c r="E487" s="851"/>
      <c r="F487" s="200">
        <v>162219</v>
      </c>
      <c r="G487" s="177"/>
      <c r="H487" s="177"/>
      <c r="I487" s="177"/>
      <c r="J487" s="177"/>
      <c r="K487" s="177"/>
      <c r="L487" s="177">
        <f>11200+táj2!L487</f>
        <v>9700</v>
      </c>
      <c r="M487" s="177"/>
      <c r="N487" s="177"/>
      <c r="O487" s="177"/>
      <c r="P487" s="177"/>
      <c r="Q487" s="151">
        <f>SUM(G487:P487)</f>
        <v>9700</v>
      </c>
    </row>
    <row r="488" spans="1:17" ht="16.5" customHeight="1" x14ac:dyDescent="0.25">
      <c r="A488" s="172"/>
      <c r="B488" s="172"/>
      <c r="C488" s="410" t="s">
        <v>93</v>
      </c>
      <c r="D488" s="389" t="s">
        <v>689</v>
      </c>
      <c r="E488" s="200"/>
      <c r="F488" s="200"/>
      <c r="G488" s="177"/>
      <c r="H488" s="177"/>
      <c r="I488" s="177"/>
      <c r="J488" s="177"/>
      <c r="K488" s="177"/>
      <c r="L488" s="177"/>
      <c r="M488" s="177"/>
      <c r="N488" s="177"/>
      <c r="O488" s="177"/>
      <c r="P488" s="177"/>
      <c r="Q488" s="151"/>
    </row>
    <row r="489" spans="1:17" ht="17.100000000000001" customHeight="1" x14ac:dyDescent="0.25">
      <c r="A489" s="172"/>
      <c r="B489" s="239"/>
      <c r="C489" s="410"/>
      <c r="D489" s="186" t="s">
        <v>1026</v>
      </c>
      <c r="E489" s="200"/>
      <c r="F489" s="200"/>
      <c r="G489" s="177"/>
      <c r="H489" s="177"/>
      <c r="I489" s="177"/>
      <c r="J489" s="177"/>
      <c r="K489" s="177"/>
      <c r="L489" s="177"/>
      <c r="M489" s="177"/>
      <c r="N489" s="177"/>
      <c r="O489" s="177"/>
      <c r="P489" s="177"/>
      <c r="Q489" s="151"/>
    </row>
    <row r="490" spans="1:17" ht="18" customHeight="1" x14ac:dyDescent="0.25">
      <c r="A490" s="172"/>
      <c r="B490" s="239"/>
      <c r="C490" s="280" t="s">
        <v>602</v>
      </c>
      <c r="D490" s="411" t="s">
        <v>858</v>
      </c>
      <c r="E490" s="200"/>
      <c r="F490" s="200">
        <v>164301</v>
      </c>
      <c r="G490" s="177"/>
      <c r="H490" s="177"/>
      <c r="I490" s="177"/>
      <c r="J490" s="177"/>
      <c r="K490" s="177"/>
      <c r="L490" s="177"/>
      <c r="M490" s="177">
        <f>445+táj2!M490</f>
        <v>445</v>
      </c>
      <c r="N490" s="177"/>
      <c r="O490" s="177"/>
      <c r="P490" s="177"/>
      <c r="Q490" s="151">
        <f>SUM(G490:P490)</f>
        <v>445</v>
      </c>
    </row>
    <row r="491" spans="1:17" ht="18" customHeight="1" x14ac:dyDescent="0.25">
      <c r="A491" s="172"/>
      <c r="B491" s="239"/>
      <c r="C491" s="281" t="s">
        <v>94</v>
      </c>
      <c r="D491" s="389" t="s">
        <v>690</v>
      </c>
      <c r="E491" s="200"/>
      <c r="F491" s="200"/>
      <c r="G491" s="177"/>
      <c r="H491" s="177"/>
      <c r="I491" s="177"/>
      <c r="J491" s="177"/>
      <c r="K491" s="177"/>
      <c r="L491" s="177"/>
      <c r="M491" s="177"/>
      <c r="N491" s="177"/>
      <c r="O491" s="177"/>
      <c r="P491" s="177"/>
      <c r="Q491" s="151"/>
    </row>
    <row r="492" spans="1:17" ht="19.5" customHeight="1" x14ac:dyDescent="0.25">
      <c r="A492" s="172"/>
      <c r="B492" s="239"/>
      <c r="C492" s="281" t="s">
        <v>605</v>
      </c>
      <c r="D492" s="185" t="s">
        <v>1184</v>
      </c>
      <c r="E492" s="200"/>
      <c r="F492" s="555">
        <v>162402</v>
      </c>
      <c r="G492" s="177"/>
      <c r="H492" s="177"/>
      <c r="I492" s="177"/>
      <c r="J492" s="177"/>
      <c r="K492" s="177"/>
      <c r="L492" s="177">
        <f>4000+táj2!L492</f>
        <v>4000</v>
      </c>
      <c r="M492" s="177"/>
      <c r="N492" s="177"/>
      <c r="O492" s="177"/>
      <c r="P492" s="177"/>
      <c r="Q492" s="151">
        <f t="shared" ref="Q492:Q500" si="40">SUM(G492:P492)</f>
        <v>4000</v>
      </c>
    </row>
    <row r="493" spans="1:17" ht="17.25" customHeight="1" x14ac:dyDescent="0.25">
      <c r="A493" s="172"/>
      <c r="B493" s="239"/>
      <c r="C493" s="281" t="s">
        <v>606</v>
      </c>
      <c r="D493" s="852" t="s">
        <v>1189</v>
      </c>
      <c r="E493" s="853"/>
      <c r="F493" s="268">
        <v>164412</v>
      </c>
      <c r="G493" s="177"/>
      <c r="H493" s="177"/>
      <c r="I493" s="177"/>
      <c r="J493" s="177"/>
      <c r="K493" s="177"/>
      <c r="L493" s="177"/>
      <c r="M493" s="177">
        <f>1000+táj2!M493</f>
        <v>1000</v>
      </c>
      <c r="N493" s="177"/>
      <c r="O493" s="177"/>
      <c r="P493" s="177"/>
      <c r="Q493" s="151">
        <f t="shared" si="40"/>
        <v>1000</v>
      </c>
    </row>
    <row r="494" spans="1:17" ht="17.100000000000001" customHeight="1" x14ac:dyDescent="0.25">
      <c r="A494" s="172"/>
      <c r="B494" s="239"/>
      <c r="C494" s="281" t="s">
        <v>607</v>
      </c>
      <c r="D494" s="852" t="s">
        <v>1190</v>
      </c>
      <c r="E494" s="853"/>
      <c r="F494" s="268">
        <v>164423</v>
      </c>
      <c r="G494" s="177"/>
      <c r="H494" s="177"/>
      <c r="I494" s="177"/>
      <c r="J494" s="177"/>
      <c r="K494" s="177"/>
      <c r="L494" s="177"/>
      <c r="M494" s="177">
        <f>1000+táj2!M494</f>
        <v>1000</v>
      </c>
      <c r="N494" s="177"/>
      <c r="O494" s="177"/>
      <c r="P494" s="177"/>
      <c r="Q494" s="151">
        <f t="shared" si="40"/>
        <v>1000</v>
      </c>
    </row>
    <row r="495" spans="1:17" ht="18" customHeight="1" x14ac:dyDescent="0.25">
      <c r="A495" s="172"/>
      <c r="B495" s="239"/>
      <c r="C495" s="281" t="s">
        <v>608</v>
      </c>
      <c r="D495" s="854" t="s">
        <v>1191</v>
      </c>
      <c r="E495" s="855"/>
      <c r="F495" s="268">
        <v>164424</v>
      </c>
      <c r="G495" s="177"/>
      <c r="H495" s="177"/>
      <c r="I495" s="177"/>
      <c r="J495" s="177"/>
      <c r="K495" s="177"/>
      <c r="L495" s="177"/>
      <c r="M495" s="177">
        <f>1000+táj2!M495</f>
        <v>1000</v>
      </c>
      <c r="N495" s="177"/>
      <c r="O495" s="177"/>
      <c r="P495" s="177"/>
      <c r="Q495" s="151">
        <f t="shared" si="40"/>
        <v>1000</v>
      </c>
    </row>
    <row r="496" spans="1:17" ht="17.25" customHeight="1" x14ac:dyDescent="0.25">
      <c r="A496" s="172"/>
      <c r="B496" s="239"/>
      <c r="C496" s="281" t="s">
        <v>609</v>
      </c>
      <c r="D496" s="844" t="s">
        <v>1192</v>
      </c>
      <c r="E496" s="845"/>
      <c r="F496" s="268">
        <v>162411</v>
      </c>
      <c r="G496" s="177"/>
      <c r="H496" s="177"/>
      <c r="I496" s="177"/>
      <c r="J496" s="177"/>
      <c r="K496" s="177"/>
      <c r="L496" s="177">
        <f>1000+táj2!L496</f>
        <v>1000</v>
      </c>
      <c r="M496" s="177"/>
      <c r="N496" s="177"/>
      <c r="O496" s="177"/>
      <c r="P496" s="177"/>
      <c r="Q496" s="151">
        <f t="shared" si="40"/>
        <v>1000</v>
      </c>
    </row>
    <row r="497" spans="1:17" ht="19.5" customHeight="1" x14ac:dyDescent="0.25">
      <c r="A497" s="172"/>
      <c r="B497" s="239"/>
      <c r="C497" s="281" t="s">
        <v>610</v>
      </c>
      <c r="D497" s="844" t="s">
        <v>1193</v>
      </c>
      <c r="E497" s="845"/>
      <c r="F497" s="268">
        <v>162413</v>
      </c>
      <c r="G497" s="177"/>
      <c r="H497" s="177"/>
      <c r="I497" s="177"/>
      <c r="J497" s="177"/>
      <c r="K497" s="177"/>
      <c r="L497" s="177">
        <f>1000+táj2!L497</f>
        <v>698</v>
      </c>
      <c r="M497" s="177"/>
      <c r="N497" s="177"/>
      <c r="O497" s="177"/>
      <c r="P497" s="177"/>
      <c r="Q497" s="151">
        <f t="shared" si="40"/>
        <v>698</v>
      </c>
    </row>
    <row r="498" spans="1:17" ht="19.5" customHeight="1" x14ac:dyDescent="0.25">
      <c r="A498" s="172"/>
      <c r="B498" s="239"/>
      <c r="C498" s="281" t="s">
        <v>611</v>
      </c>
      <c r="D498" s="381" t="s">
        <v>1197</v>
      </c>
      <c r="E498" s="200"/>
      <c r="F498" s="268">
        <v>162414</v>
      </c>
      <c r="G498" s="556"/>
      <c r="H498" s="177"/>
      <c r="I498" s="177"/>
      <c r="J498" s="177"/>
      <c r="K498" s="177"/>
      <c r="L498" s="177">
        <f>4000+táj2!L498</f>
        <v>4000</v>
      </c>
      <c r="M498" s="177"/>
      <c r="N498" s="177"/>
      <c r="O498" s="177"/>
      <c r="P498" s="177"/>
      <c r="Q498" s="151">
        <f t="shared" si="40"/>
        <v>4000</v>
      </c>
    </row>
    <row r="499" spans="1:17" ht="19.5" customHeight="1" x14ac:dyDescent="0.25">
      <c r="A499" s="507"/>
      <c r="B499" s="618"/>
      <c r="C499" s="281" t="s">
        <v>612</v>
      </c>
      <c r="D499" s="573" t="s">
        <v>1218</v>
      </c>
      <c r="E499" s="574"/>
      <c r="F499" s="585">
        <v>164425</v>
      </c>
      <c r="G499" s="563"/>
      <c r="H499" s="563"/>
      <c r="I499" s="563"/>
      <c r="J499" s="563"/>
      <c r="K499" s="563"/>
      <c r="L499" s="177">
        <f>0+táj2!L499</f>
        <v>7776</v>
      </c>
      <c r="M499" s="177">
        <f>5000+táj2!M499</f>
        <v>0</v>
      </c>
      <c r="N499" s="563"/>
      <c r="O499" s="563"/>
      <c r="P499" s="563"/>
      <c r="Q499" s="510">
        <f t="shared" si="40"/>
        <v>7776</v>
      </c>
    </row>
    <row r="500" spans="1:17" ht="19.5" customHeight="1" x14ac:dyDescent="0.25">
      <c r="A500" s="507"/>
      <c r="B500" s="618"/>
      <c r="C500" s="281" t="s">
        <v>614</v>
      </c>
      <c r="D500" s="580" t="s">
        <v>1220</v>
      </c>
      <c r="E500" s="574"/>
      <c r="F500" s="585">
        <v>164426</v>
      </c>
      <c r="G500" s="510"/>
      <c r="H500" s="510"/>
      <c r="I500" s="510"/>
      <c r="J500" s="510"/>
      <c r="K500" s="510"/>
      <c r="L500" s="177"/>
      <c r="M500" s="177">
        <f>1000+táj2!M500</f>
        <v>508</v>
      </c>
      <c r="N500" s="510"/>
      <c r="O500" s="510"/>
      <c r="P500" s="510"/>
      <c r="Q500" s="510">
        <f t="shared" si="40"/>
        <v>508</v>
      </c>
    </row>
    <row r="501" spans="1:17" ht="17.100000000000001" customHeight="1" x14ac:dyDescent="0.25">
      <c r="A501" s="172"/>
      <c r="B501" s="172"/>
      <c r="C501" s="281"/>
      <c r="D501" s="186" t="s">
        <v>1026</v>
      </c>
      <c r="E501" s="200"/>
      <c r="F501" s="555"/>
      <c r="G501" s="177"/>
      <c r="H501" s="177"/>
      <c r="I501" s="177"/>
      <c r="J501" s="177"/>
      <c r="K501" s="177"/>
      <c r="L501" s="177"/>
      <c r="M501" s="177"/>
      <c r="N501" s="177"/>
      <c r="O501" s="177"/>
      <c r="P501" s="177"/>
      <c r="Q501" s="151"/>
    </row>
    <row r="502" spans="1:17" ht="17.100000000000001" customHeight="1" x14ac:dyDescent="0.25">
      <c r="A502" s="172"/>
      <c r="B502" s="172"/>
      <c r="C502" s="281" t="s">
        <v>636</v>
      </c>
      <c r="D502" s="365" t="s">
        <v>857</v>
      </c>
      <c r="E502" s="200"/>
      <c r="F502" s="555">
        <v>162431</v>
      </c>
      <c r="G502" s="177"/>
      <c r="H502" s="177"/>
      <c r="I502" s="177"/>
      <c r="J502" s="177"/>
      <c r="K502" s="177"/>
      <c r="L502" s="177">
        <f>6372+táj2!L502</f>
        <v>5872</v>
      </c>
      <c r="M502" s="177">
        <f>2984+táj2!M502</f>
        <v>2984</v>
      </c>
      <c r="N502" s="177"/>
      <c r="O502" s="177"/>
      <c r="P502" s="177"/>
      <c r="Q502" s="151">
        <f t="shared" ref="Q502:Q504" si="41">SUM(G502:P502)</f>
        <v>8856</v>
      </c>
    </row>
    <row r="503" spans="1:17" ht="17.100000000000001" customHeight="1" x14ac:dyDescent="0.25">
      <c r="A503" s="172"/>
      <c r="B503" s="172"/>
      <c r="C503" s="413" t="s">
        <v>82</v>
      </c>
      <c r="D503" s="217" t="s">
        <v>646</v>
      </c>
      <c r="E503" s="200"/>
      <c r="F503" s="555"/>
      <c r="G503" s="177"/>
      <c r="H503" s="177"/>
      <c r="I503" s="177"/>
      <c r="J503" s="177"/>
      <c r="K503" s="177"/>
      <c r="L503" s="177"/>
      <c r="M503" s="177"/>
      <c r="N503" s="177"/>
      <c r="O503" s="177"/>
      <c r="P503" s="177"/>
      <c r="Q503" s="151"/>
    </row>
    <row r="504" spans="1:17" ht="17.100000000000001" customHeight="1" x14ac:dyDescent="0.25">
      <c r="A504" s="172"/>
      <c r="B504" s="172"/>
      <c r="C504" s="413" t="s">
        <v>647</v>
      </c>
      <c r="D504" s="185" t="s">
        <v>1198</v>
      </c>
      <c r="E504" s="200"/>
      <c r="F504" s="555">
        <v>162506</v>
      </c>
      <c r="G504" s="177"/>
      <c r="H504" s="177"/>
      <c r="I504" s="177"/>
      <c r="J504" s="177"/>
      <c r="K504" s="177"/>
      <c r="L504" s="177">
        <f>2500+táj2!L504</f>
        <v>2500</v>
      </c>
      <c r="M504" s="177"/>
      <c r="N504" s="177"/>
      <c r="O504" s="177"/>
      <c r="P504" s="177"/>
      <c r="Q504" s="151">
        <f t="shared" si="41"/>
        <v>2500</v>
      </c>
    </row>
    <row r="505" spans="1:17" ht="17.100000000000001" customHeight="1" x14ac:dyDescent="0.25">
      <c r="A505" s="172"/>
      <c r="B505" s="172"/>
      <c r="C505" s="413"/>
      <c r="D505" s="186" t="s">
        <v>1026</v>
      </c>
      <c r="E505" s="200"/>
      <c r="F505" s="200"/>
      <c r="G505" s="177"/>
      <c r="H505" s="177"/>
      <c r="I505" s="177"/>
      <c r="J505" s="177"/>
      <c r="K505" s="177"/>
      <c r="L505" s="177"/>
      <c r="M505" s="177"/>
      <c r="N505" s="177"/>
      <c r="O505" s="177"/>
      <c r="P505" s="177"/>
      <c r="Q505" s="151"/>
    </row>
    <row r="506" spans="1:17" ht="17.100000000000001" customHeight="1" x14ac:dyDescent="0.25">
      <c r="A506" s="172"/>
      <c r="B506" s="172"/>
      <c r="C506" s="281" t="s">
        <v>655</v>
      </c>
      <c r="D506" s="398" t="s">
        <v>691</v>
      </c>
      <c r="E506" s="200"/>
      <c r="F506" s="200">
        <v>162505</v>
      </c>
      <c r="G506" s="177"/>
      <c r="H506" s="177"/>
      <c r="I506" s="177"/>
      <c r="J506" s="177"/>
      <c r="K506" s="177"/>
      <c r="L506" s="177"/>
      <c r="M506" s="177">
        <f>144+táj2!M506</f>
        <v>144</v>
      </c>
      <c r="N506" s="177"/>
      <c r="O506" s="177"/>
      <c r="P506" s="177"/>
      <c r="Q506" s="151">
        <f>SUM(G506:P506)</f>
        <v>144</v>
      </c>
    </row>
    <row r="507" spans="1:17" ht="18" customHeight="1" x14ac:dyDescent="0.25">
      <c r="A507" s="172"/>
      <c r="B507" s="172"/>
      <c r="C507" s="410" t="s">
        <v>81</v>
      </c>
      <c r="D507" s="389" t="s">
        <v>692</v>
      </c>
      <c r="E507" s="200"/>
      <c r="F507" s="200"/>
      <c r="G507" s="177"/>
      <c r="H507" s="177"/>
      <c r="I507" s="177"/>
      <c r="J507" s="177"/>
      <c r="K507" s="177"/>
      <c r="L507" s="177"/>
      <c r="M507" s="177"/>
      <c r="N507" s="177"/>
      <c r="O507" s="177"/>
      <c r="P507" s="177"/>
      <c r="Q507" s="151"/>
    </row>
    <row r="508" spans="1:17" ht="27" customHeight="1" x14ac:dyDescent="0.25">
      <c r="A508" s="172"/>
      <c r="B508" s="172"/>
      <c r="C508" s="282" t="s">
        <v>927</v>
      </c>
      <c r="D508" s="860" t="s">
        <v>1169</v>
      </c>
      <c r="E508" s="861"/>
      <c r="F508" s="555">
        <v>164944</v>
      </c>
      <c r="G508" s="556"/>
      <c r="H508" s="177"/>
      <c r="I508" s="177"/>
      <c r="J508" s="177"/>
      <c r="K508" s="177"/>
      <c r="L508" s="177"/>
      <c r="M508" s="177">
        <f>1300+táj2!M508</f>
        <v>1300</v>
      </c>
      <c r="N508" s="177"/>
      <c r="O508" s="177"/>
      <c r="P508" s="177"/>
      <c r="Q508" s="151">
        <f>SUM(G508:P508)</f>
        <v>1300</v>
      </c>
    </row>
    <row r="509" spans="1:17" ht="18" customHeight="1" x14ac:dyDescent="0.25">
      <c r="A509" s="172"/>
      <c r="B509" s="172"/>
      <c r="C509" s="410"/>
      <c r="D509" s="186" t="s">
        <v>1026</v>
      </c>
      <c r="E509" s="200"/>
      <c r="F509" s="200"/>
      <c r="G509" s="177"/>
      <c r="H509" s="177"/>
      <c r="I509" s="177"/>
      <c r="J509" s="177"/>
      <c r="K509" s="177"/>
      <c r="L509" s="177"/>
      <c r="M509" s="177"/>
      <c r="N509" s="177"/>
      <c r="O509" s="177"/>
      <c r="P509" s="177"/>
      <c r="Q509" s="151"/>
    </row>
    <row r="510" spans="1:17" ht="18" customHeight="1" x14ac:dyDescent="0.25">
      <c r="A510" s="172"/>
      <c r="B510" s="172"/>
      <c r="C510" s="282" t="s">
        <v>480</v>
      </c>
      <c r="D510" s="412" t="s">
        <v>693</v>
      </c>
      <c r="E510" s="200"/>
      <c r="F510" s="200">
        <v>162601</v>
      </c>
      <c r="G510" s="177"/>
      <c r="H510" s="177"/>
      <c r="I510" s="177"/>
      <c r="J510" s="177"/>
      <c r="K510" s="177"/>
      <c r="L510" s="177">
        <f>10005+táj2!L510</f>
        <v>10005</v>
      </c>
      <c r="M510" s="177"/>
      <c r="N510" s="177"/>
      <c r="O510" s="177"/>
      <c r="P510" s="177"/>
      <c r="Q510" s="151">
        <f>SUM(G510:P510)</f>
        <v>10005</v>
      </c>
    </row>
    <row r="511" spans="1:17" ht="18.600000000000001" customHeight="1" x14ac:dyDescent="0.25">
      <c r="A511" s="172"/>
      <c r="B511" s="172"/>
      <c r="C511" s="282" t="s">
        <v>481</v>
      </c>
      <c r="D511" s="590" t="s">
        <v>1183</v>
      </c>
      <c r="E511" s="200"/>
      <c r="F511" s="200">
        <v>162636</v>
      </c>
      <c r="G511" s="177"/>
      <c r="H511" s="177"/>
      <c r="I511" s="177">
        <f>3810+táj2!I511</f>
        <v>4191</v>
      </c>
      <c r="J511" s="177"/>
      <c r="K511" s="177"/>
      <c r="L511" s="177">
        <f>19077+táj2!L511</f>
        <v>17172</v>
      </c>
      <c r="M511" s="177">
        <f>17050+táj2!M511</f>
        <v>18574</v>
      </c>
      <c r="N511" s="177"/>
      <c r="O511" s="177"/>
      <c r="P511" s="177"/>
      <c r="Q511" s="151">
        <f>SUM(G511:P511)</f>
        <v>39937</v>
      </c>
    </row>
    <row r="512" spans="1:17" ht="18" customHeight="1" x14ac:dyDescent="0.25">
      <c r="A512" s="172"/>
      <c r="B512" s="172"/>
      <c r="C512" s="282" t="s">
        <v>482</v>
      </c>
      <c r="D512" s="412" t="s">
        <v>694</v>
      </c>
      <c r="E512" s="200"/>
      <c r="F512" s="200">
        <v>162637</v>
      </c>
      <c r="G512" s="177"/>
      <c r="H512" s="177"/>
      <c r="I512" s="177">
        <f>0+táj2!I512</f>
        <v>996</v>
      </c>
      <c r="J512" s="177"/>
      <c r="K512" s="177"/>
      <c r="L512" s="177">
        <f>8486+táj2!L512</f>
        <v>7490</v>
      </c>
      <c r="M512" s="177"/>
      <c r="N512" s="177"/>
      <c r="O512" s="177"/>
      <c r="P512" s="177"/>
      <c r="Q512" s="151">
        <f>SUM(G512:P512)</f>
        <v>8486</v>
      </c>
    </row>
    <row r="513" spans="1:17" ht="18" customHeight="1" x14ac:dyDescent="0.25">
      <c r="A513" s="172"/>
      <c r="B513" s="172"/>
      <c r="C513" s="282" t="s">
        <v>483</v>
      </c>
      <c r="D513" s="858" t="s">
        <v>928</v>
      </c>
      <c r="E513" s="859"/>
      <c r="F513" s="151">
        <v>162971</v>
      </c>
      <c r="G513" s="177"/>
      <c r="H513" s="177"/>
      <c r="I513" s="177"/>
      <c r="J513" s="177"/>
      <c r="K513" s="177"/>
      <c r="L513" s="177">
        <f>1200+táj2!L513</f>
        <v>1200</v>
      </c>
      <c r="M513" s="177"/>
      <c r="N513" s="177"/>
      <c r="O513" s="177"/>
      <c r="P513" s="177"/>
      <c r="Q513" s="151">
        <f>SUM(G513:P513)</f>
        <v>1200</v>
      </c>
    </row>
    <row r="514" spans="1:17" ht="18" customHeight="1" x14ac:dyDescent="0.25">
      <c r="A514" s="172"/>
      <c r="B514" s="172"/>
      <c r="C514" s="410" t="s">
        <v>83</v>
      </c>
      <c r="D514" s="414" t="s">
        <v>658</v>
      </c>
      <c r="E514" s="200"/>
      <c r="F514" s="200"/>
      <c r="G514" s="177"/>
      <c r="H514" s="177"/>
      <c r="I514" s="177"/>
      <c r="J514" s="177"/>
      <c r="K514" s="177"/>
      <c r="L514" s="177"/>
      <c r="M514" s="177"/>
      <c r="N514" s="177"/>
      <c r="O514" s="177"/>
      <c r="P514" s="177"/>
      <c r="Q514" s="151"/>
    </row>
    <row r="515" spans="1:17" ht="18" customHeight="1" x14ac:dyDescent="0.25">
      <c r="A515" s="172"/>
      <c r="B515" s="172"/>
      <c r="C515" s="612"/>
      <c r="D515" s="608" t="s">
        <v>1026</v>
      </c>
      <c r="E515" s="200"/>
      <c r="F515" s="200"/>
      <c r="G515" s="177"/>
      <c r="H515" s="177"/>
      <c r="I515" s="177"/>
      <c r="J515" s="177"/>
      <c r="K515" s="177"/>
      <c r="L515" s="177"/>
      <c r="M515" s="177"/>
      <c r="N515" s="177"/>
      <c r="O515" s="177"/>
      <c r="P515" s="177"/>
      <c r="Q515" s="151"/>
    </row>
    <row r="516" spans="1:17" ht="15.6" customHeight="1" x14ac:dyDescent="0.25">
      <c r="A516" s="172"/>
      <c r="B516" s="172"/>
      <c r="C516" s="678" t="s">
        <v>695</v>
      </c>
      <c r="D516" s="679" t="s">
        <v>696</v>
      </c>
      <c r="E516" s="200"/>
      <c r="F516" s="200">
        <v>162701</v>
      </c>
      <c r="G516" s="177"/>
      <c r="H516" s="177"/>
      <c r="I516" s="177">
        <f>1377+táj2!I516</f>
        <v>1377</v>
      </c>
      <c r="J516" s="177"/>
      <c r="K516" s="177"/>
      <c r="L516" s="177"/>
      <c r="M516" s="177"/>
      <c r="N516" s="177"/>
      <c r="O516" s="177"/>
      <c r="P516" s="177"/>
      <c r="Q516" s="151">
        <f>SUM(G516:P516)</f>
        <v>1377</v>
      </c>
    </row>
    <row r="517" spans="1:17" ht="18" customHeight="1" x14ac:dyDescent="0.25">
      <c r="A517" s="172"/>
      <c r="B517" s="172"/>
      <c r="C517" s="613" t="s">
        <v>84</v>
      </c>
      <c r="D517" s="609" t="s">
        <v>659</v>
      </c>
      <c r="E517" s="200"/>
      <c r="F517" s="200"/>
      <c r="G517" s="177"/>
      <c r="H517" s="177"/>
      <c r="I517" s="177"/>
      <c r="J517" s="177"/>
      <c r="K517" s="177"/>
      <c r="L517" s="177"/>
      <c r="M517" s="177"/>
      <c r="N517" s="177"/>
      <c r="O517" s="177"/>
      <c r="P517" s="177"/>
      <c r="Q517" s="151"/>
    </row>
    <row r="518" spans="1:17" ht="18" customHeight="1" x14ac:dyDescent="0.25">
      <c r="A518" s="172"/>
      <c r="B518" s="172"/>
      <c r="C518" s="614" t="s">
        <v>85</v>
      </c>
      <c r="D518" s="609" t="s">
        <v>661</v>
      </c>
      <c r="E518" s="200"/>
      <c r="F518" s="200"/>
      <c r="G518" s="177"/>
      <c r="H518" s="177"/>
      <c r="I518" s="177"/>
      <c r="J518" s="177"/>
      <c r="K518" s="177"/>
      <c r="L518" s="177"/>
      <c r="M518" s="177"/>
      <c r="N518" s="177"/>
      <c r="O518" s="177"/>
      <c r="P518" s="177"/>
      <c r="Q518" s="151"/>
    </row>
    <row r="519" spans="1:17" ht="18" customHeight="1" x14ac:dyDescent="0.25">
      <c r="A519" s="172"/>
      <c r="B519" s="172"/>
      <c r="C519" s="615" t="s">
        <v>662</v>
      </c>
      <c r="D519" s="677" t="s">
        <v>697</v>
      </c>
      <c r="E519" s="200"/>
      <c r="F519" s="200">
        <v>164921</v>
      </c>
      <c r="G519" s="177"/>
      <c r="H519" s="177"/>
      <c r="I519" s="177"/>
      <c r="J519" s="177"/>
      <c r="K519" s="177"/>
      <c r="L519" s="177"/>
      <c r="M519" s="177">
        <f>19907+táj2!M519</f>
        <v>19907</v>
      </c>
      <c r="N519" s="177"/>
      <c r="O519" s="177"/>
      <c r="P519" s="177"/>
      <c r="Q519" s="151">
        <f t="shared" ref="Q519:Q527" si="42">SUM(G519:P519)</f>
        <v>19907</v>
      </c>
    </row>
    <row r="520" spans="1:17" ht="18" customHeight="1" x14ac:dyDescent="0.25">
      <c r="A520" s="172"/>
      <c r="B520" s="172"/>
      <c r="C520" s="615" t="s">
        <v>663</v>
      </c>
      <c r="D520" s="286" t="s">
        <v>1166</v>
      </c>
      <c r="F520" s="764">
        <v>164938</v>
      </c>
      <c r="G520" s="177"/>
      <c r="H520" s="177"/>
      <c r="I520" s="177"/>
      <c r="J520" s="177"/>
      <c r="K520" s="177"/>
      <c r="L520" s="177"/>
      <c r="M520" s="177">
        <f>2000+táj2!M520</f>
        <v>2000</v>
      </c>
      <c r="N520" s="177"/>
      <c r="O520" s="177"/>
      <c r="P520" s="177"/>
      <c r="Q520" s="151">
        <f t="shared" si="42"/>
        <v>2000</v>
      </c>
    </row>
    <row r="521" spans="1:17" ht="18" customHeight="1" x14ac:dyDescent="0.25">
      <c r="A521" s="172"/>
      <c r="B521" s="172"/>
      <c r="C521" s="615" t="s">
        <v>698</v>
      </c>
      <c r="D521" s="876" t="s">
        <v>1167</v>
      </c>
      <c r="E521" s="877"/>
      <c r="F521" s="764">
        <v>164939</v>
      </c>
      <c r="G521" s="177"/>
      <c r="H521" s="177"/>
      <c r="I521" s="177"/>
      <c r="J521" s="177"/>
      <c r="K521" s="177"/>
      <c r="L521" s="177"/>
      <c r="M521" s="177">
        <f>7000+táj2!M521</f>
        <v>7000</v>
      </c>
      <c r="N521" s="177"/>
      <c r="O521" s="177"/>
      <c r="P521" s="177"/>
      <c r="Q521" s="151">
        <f t="shared" si="42"/>
        <v>7000</v>
      </c>
    </row>
    <row r="522" spans="1:17" ht="18" customHeight="1" x14ac:dyDescent="0.25">
      <c r="A522" s="172"/>
      <c r="B522" s="172"/>
      <c r="C522" s="615" t="s">
        <v>699</v>
      </c>
      <c r="D522" s="681" t="s">
        <v>1168</v>
      </c>
      <c r="E522" s="805"/>
      <c r="F522" s="764">
        <v>164940</v>
      </c>
      <c r="G522" s="177"/>
      <c r="H522" s="177"/>
      <c r="I522" s="177"/>
      <c r="J522" s="177"/>
      <c r="K522" s="177"/>
      <c r="L522" s="177"/>
      <c r="M522" s="177">
        <f>25000+táj2!M522</f>
        <v>25000</v>
      </c>
      <c r="N522" s="177"/>
      <c r="O522" s="177"/>
      <c r="P522" s="177"/>
      <c r="Q522" s="151">
        <f t="shared" si="42"/>
        <v>25000</v>
      </c>
    </row>
    <row r="523" spans="1:17" ht="18" customHeight="1" x14ac:dyDescent="0.25">
      <c r="A523" s="172"/>
      <c r="B523" s="172"/>
      <c r="C523" s="615" t="s">
        <v>700</v>
      </c>
      <c r="D523" s="844" t="s">
        <v>1170</v>
      </c>
      <c r="E523" s="845"/>
      <c r="F523" s="200">
        <v>162979</v>
      </c>
      <c r="G523" s="177"/>
      <c r="H523" s="177"/>
      <c r="I523" s="177"/>
      <c r="J523" s="177"/>
      <c r="K523" s="177"/>
      <c r="L523" s="177">
        <f>3000+táj2!L523</f>
        <v>3000</v>
      </c>
      <c r="M523" s="177"/>
      <c r="N523" s="177"/>
      <c r="O523" s="177"/>
      <c r="P523" s="177"/>
      <c r="Q523" s="151">
        <f t="shared" si="42"/>
        <v>3000</v>
      </c>
    </row>
    <row r="524" spans="1:17" ht="18" customHeight="1" x14ac:dyDescent="0.25">
      <c r="A524" s="507"/>
      <c r="B524" s="507"/>
      <c r="C524" s="615" t="s">
        <v>1173</v>
      </c>
      <c r="D524" s="611" t="s">
        <v>1171</v>
      </c>
      <c r="E524" s="574"/>
      <c r="F524" s="200">
        <v>164941</v>
      </c>
      <c r="G524" s="563"/>
      <c r="H524" s="563"/>
      <c r="I524" s="563"/>
      <c r="J524" s="563"/>
      <c r="K524" s="563"/>
      <c r="L524" s="563"/>
      <c r="M524" s="177">
        <f>200+táj2!M524</f>
        <v>200</v>
      </c>
      <c r="N524" s="563"/>
      <c r="O524" s="563"/>
      <c r="P524" s="563"/>
      <c r="Q524" s="151">
        <f t="shared" si="42"/>
        <v>200</v>
      </c>
    </row>
    <row r="525" spans="1:17" ht="18" customHeight="1" x14ac:dyDescent="0.25">
      <c r="A525" s="507"/>
      <c r="B525" s="507"/>
      <c r="C525" s="615" t="s">
        <v>1174</v>
      </c>
      <c r="D525" s="611" t="s">
        <v>1172</v>
      </c>
      <c r="E525" s="574"/>
      <c r="F525" s="200">
        <v>164942</v>
      </c>
      <c r="G525" s="563"/>
      <c r="H525" s="563"/>
      <c r="I525" s="563"/>
      <c r="J525" s="563"/>
      <c r="K525" s="563"/>
      <c r="L525" s="563"/>
      <c r="M525" s="177">
        <f>200+táj2!M525</f>
        <v>200</v>
      </c>
      <c r="N525" s="563"/>
      <c r="O525" s="563"/>
      <c r="P525" s="563"/>
      <c r="Q525" s="151">
        <f t="shared" si="42"/>
        <v>200</v>
      </c>
    </row>
    <row r="526" spans="1:17" ht="22.95" customHeight="1" x14ac:dyDescent="0.25">
      <c r="A526" s="507"/>
      <c r="B526" s="507"/>
      <c r="C526" s="615" t="s">
        <v>1194</v>
      </c>
      <c r="D526" s="768" t="s">
        <v>1305</v>
      </c>
      <c r="E526" s="585"/>
      <c r="F526" s="585">
        <v>164928</v>
      </c>
      <c r="G526" s="563"/>
      <c r="H526" s="563"/>
      <c r="I526" s="563"/>
      <c r="J526" s="563"/>
      <c r="K526" s="563"/>
      <c r="L526" s="563"/>
      <c r="M526" s="177">
        <f>500+táj2!M526</f>
        <v>0</v>
      </c>
      <c r="N526" s="177">
        <f>0+táj2!N526</f>
        <v>500</v>
      </c>
      <c r="O526" s="563"/>
      <c r="P526" s="563"/>
      <c r="Q526" s="510">
        <f t="shared" si="42"/>
        <v>500</v>
      </c>
    </row>
    <row r="527" spans="1:17" ht="18" customHeight="1" x14ac:dyDescent="0.25">
      <c r="A527" s="507"/>
      <c r="B527" s="507"/>
      <c r="C527" s="615" t="s">
        <v>1208</v>
      </c>
      <c r="D527" s="629" t="s">
        <v>1231</v>
      </c>
      <c r="E527" s="574"/>
      <c r="F527" s="585">
        <v>164943</v>
      </c>
      <c r="G527" s="563"/>
      <c r="H527" s="563"/>
      <c r="I527" s="563"/>
      <c r="J527" s="563"/>
      <c r="K527" s="177">
        <f>0+táj2!K527</f>
        <v>1000</v>
      </c>
      <c r="L527" s="177"/>
      <c r="M527" s="177"/>
      <c r="N527" s="177">
        <f>500+táj2!N527</f>
        <v>500</v>
      </c>
      <c r="O527" s="563"/>
      <c r="P527" s="563"/>
      <c r="Q527" s="510">
        <f t="shared" si="42"/>
        <v>1500</v>
      </c>
    </row>
    <row r="528" spans="1:17" ht="15.75" customHeight="1" x14ac:dyDescent="0.25">
      <c r="A528" s="172"/>
      <c r="B528" s="172"/>
      <c r="C528" s="613"/>
      <c r="D528" s="608" t="s">
        <v>1026</v>
      </c>
      <c r="E528" s="200"/>
      <c r="F528" s="200"/>
      <c r="G528" s="177"/>
      <c r="H528" s="177"/>
      <c r="I528" s="177"/>
      <c r="J528" s="177"/>
      <c r="K528" s="177"/>
      <c r="L528" s="177"/>
      <c r="M528" s="177"/>
      <c r="N528" s="177"/>
      <c r="O528" s="177"/>
      <c r="P528" s="177"/>
      <c r="Q528" s="151"/>
    </row>
    <row r="529" spans="1:17" ht="38.25" customHeight="1" x14ac:dyDescent="0.25">
      <c r="A529" s="172"/>
      <c r="B529" s="172"/>
      <c r="C529" s="571" t="s">
        <v>665</v>
      </c>
      <c r="D529" s="680" t="s">
        <v>931</v>
      </c>
      <c r="E529" s="200"/>
      <c r="F529" s="200">
        <v>174902</v>
      </c>
      <c r="G529" s="177"/>
      <c r="H529" s="177"/>
      <c r="I529" s="177"/>
      <c r="J529" s="177"/>
      <c r="K529" s="177"/>
      <c r="L529" s="177"/>
      <c r="M529" s="177">
        <f>103960+táj2!M529</f>
        <v>103960</v>
      </c>
      <c r="N529" s="177"/>
      <c r="O529" s="177"/>
      <c r="P529" s="177"/>
      <c r="Q529" s="151">
        <f t="shared" ref="Q529:Q543" si="43">SUM(G529:P529)</f>
        <v>103960</v>
      </c>
    </row>
    <row r="530" spans="1:17" ht="18" customHeight="1" x14ac:dyDescent="0.25">
      <c r="A530" s="172"/>
      <c r="B530" s="172"/>
      <c r="C530" s="188" t="s">
        <v>666</v>
      </c>
      <c r="D530" s="186" t="s">
        <v>1116</v>
      </c>
      <c r="E530" s="200"/>
      <c r="F530" s="200">
        <v>162942</v>
      </c>
      <c r="G530" s="177"/>
      <c r="H530" s="177"/>
      <c r="I530" s="177"/>
      <c r="J530" s="177"/>
      <c r="K530" s="177"/>
      <c r="L530" s="177"/>
      <c r="M530" s="177">
        <f>21987+táj2!M530</f>
        <v>26337</v>
      </c>
      <c r="N530" s="177"/>
      <c r="O530" s="177"/>
      <c r="P530" s="177"/>
      <c r="Q530" s="151">
        <f t="shared" si="43"/>
        <v>26337</v>
      </c>
    </row>
    <row r="531" spans="1:17" ht="18" customHeight="1" x14ac:dyDescent="0.25">
      <c r="A531" s="172"/>
      <c r="B531" s="172"/>
      <c r="C531" s="188" t="s">
        <v>667</v>
      </c>
      <c r="D531" s="277" t="s">
        <v>701</v>
      </c>
      <c r="E531" s="200"/>
      <c r="F531" s="200">
        <v>162903</v>
      </c>
      <c r="G531" s="177"/>
      <c r="H531" s="177"/>
      <c r="I531" s="177"/>
      <c r="J531" s="177"/>
      <c r="K531" s="177"/>
      <c r="L531" s="177"/>
      <c r="M531" s="177">
        <f>8600+táj2!M531</f>
        <v>8600</v>
      </c>
      <c r="N531" s="177"/>
      <c r="O531" s="177"/>
      <c r="P531" s="177"/>
      <c r="Q531" s="151">
        <f t="shared" si="43"/>
        <v>8600</v>
      </c>
    </row>
    <row r="532" spans="1:17" ht="18" customHeight="1" x14ac:dyDescent="0.25">
      <c r="A532" s="172"/>
      <c r="B532" s="172"/>
      <c r="C532" s="188" t="s">
        <v>669</v>
      </c>
      <c r="D532" s="277" t="s">
        <v>703</v>
      </c>
      <c r="E532" s="200"/>
      <c r="F532" s="200">
        <v>162958</v>
      </c>
      <c r="G532" s="177"/>
      <c r="H532" s="177"/>
      <c r="I532" s="177"/>
      <c r="J532" s="177"/>
      <c r="K532" s="177"/>
      <c r="L532" s="177">
        <f>1302+táj2!L532</f>
        <v>1302</v>
      </c>
      <c r="M532" s="177"/>
      <c r="N532" s="177"/>
      <c r="O532" s="177"/>
      <c r="P532" s="177"/>
      <c r="Q532" s="151">
        <f t="shared" si="43"/>
        <v>1302</v>
      </c>
    </row>
    <row r="533" spans="1:17" ht="17.25" customHeight="1" x14ac:dyDescent="0.25">
      <c r="A533" s="172"/>
      <c r="B533" s="172"/>
      <c r="C533" s="188" t="s">
        <v>670</v>
      </c>
      <c r="D533" s="277" t="s">
        <v>932</v>
      </c>
      <c r="E533" s="200"/>
      <c r="F533" s="200">
        <v>162929</v>
      </c>
      <c r="G533" s="177"/>
      <c r="H533" s="177"/>
      <c r="I533" s="177"/>
      <c r="J533" s="177"/>
      <c r="K533" s="177"/>
      <c r="L533" s="177">
        <f>1000+táj2!L533</f>
        <v>1000</v>
      </c>
      <c r="M533" s="177"/>
      <c r="N533" s="177"/>
      <c r="O533" s="177"/>
      <c r="P533" s="177"/>
      <c r="Q533" s="151">
        <f t="shared" si="43"/>
        <v>1000</v>
      </c>
    </row>
    <row r="534" spans="1:17" ht="26.25" customHeight="1" x14ac:dyDescent="0.25">
      <c r="A534" s="172"/>
      <c r="B534" s="172"/>
      <c r="C534" s="188" t="s">
        <v>671</v>
      </c>
      <c r="D534" s="365" t="s">
        <v>933</v>
      </c>
      <c r="E534" s="200"/>
      <c r="F534" s="200">
        <v>162967</v>
      </c>
      <c r="G534" s="177"/>
      <c r="H534" s="177"/>
      <c r="I534" s="177"/>
      <c r="J534" s="177"/>
      <c r="K534" s="177"/>
      <c r="L534" s="177">
        <f>2646+táj2!L534</f>
        <v>2646</v>
      </c>
      <c r="M534" s="177"/>
      <c r="N534" s="177"/>
      <c r="O534" s="177"/>
      <c r="P534" s="177"/>
      <c r="Q534" s="151">
        <f t="shared" si="43"/>
        <v>2646</v>
      </c>
    </row>
    <row r="535" spans="1:17" ht="20.25" customHeight="1" x14ac:dyDescent="0.25">
      <c r="A535" s="172"/>
      <c r="B535" s="172"/>
      <c r="C535" s="188" t="s">
        <v>672</v>
      </c>
      <c r="D535" s="365" t="s">
        <v>934</v>
      </c>
      <c r="E535" s="200"/>
      <c r="F535" s="200">
        <v>164933</v>
      </c>
      <c r="G535" s="177"/>
      <c r="H535" s="177"/>
      <c r="I535" s="177"/>
      <c r="J535" s="177"/>
      <c r="K535" s="177"/>
      <c r="L535" s="177"/>
      <c r="M535" s="177">
        <f>263+táj2!M535</f>
        <v>263</v>
      </c>
      <c r="N535" s="177"/>
      <c r="O535" s="177"/>
      <c r="P535" s="177"/>
      <c r="Q535" s="151">
        <f t="shared" si="43"/>
        <v>263</v>
      </c>
    </row>
    <row r="536" spans="1:17" ht="20.25" customHeight="1" x14ac:dyDescent="0.25">
      <c r="A536" s="172"/>
      <c r="B536" s="172"/>
      <c r="C536" s="188" t="s">
        <v>702</v>
      </c>
      <c r="D536" s="882" t="s">
        <v>929</v>
      </c>
      <c r="E536" s="883"/>
      <c r="F536" s="286">
        <v>164934</v>
      </c>
      <c r="G536" s="177"/>
      <c r="H536" s="177"/>
      <c r="I536" s="177"/>
      <c r="J536" s="177"/>
      <c r="K536" s="177"/>
      <c r="L536" s="177"/>
      <c r="M536" s="177">
        <f>22537+táj2!M536</f>
        <v>22537</v>
      </c>
      <c r="N536" s="177"/>
      <c r="O536" s="177"/>
      <c r="P536" s="177"/>
      <c r="Q536" s="151">
        <f t="shared" si="43"/>
        <v>22537</v>
      </c>
    </row>
    <row r="537" spans="1:17" ht="20.25" customHeight="1" x14ac:dyDescent="0.25">
      <c r="A537" s="172"/>
      <c r="B537" s="172"/>
      <c r="C537" s="188" t="s">
        <v>1071</v>
      </c>
      <c r="D537" s="844" t="s">
        <v>930</v>
      </c>
      <c r="E537" s="845"/>
      <c r="F537" s="200">
        <v>164936</v>
      </c>
      <c r="G537" s="177"/>
      <c r="H537" s="177"/>
      <c r="I537" s="177"/>
      <c r="J537" s="177"/>
      <c r="K537" s="177"/>
      <c r="L537" s="177"/>
      <c r="M537" s="177">
        <f>449+táj2!M537</f>
        <v>449</v>
      </c>
      <c r="N537" s="177"/>
      <c r="O537" s="177"/>
      <c r="P537" s="177"/>
      <c r="Q537" s="151">
        <f t="shared" si="43"/>
        <v>449</v>
      </c>
    </row>
    <row r="538" spans="1:17" ht="20.25" customHeight="1" x14ac:dyDescent="0.25">
      <c r="A538" s="172"/>
      <c r="B538" s="172"/>
      <c r="C538" s="188" t="s">
        <v>1072</v>
      </c>
      <c r="D538" s="365" t="s">
        <v>1073</v>
      </c>
      <c r="E538" s="200"/>
      <c r="F538" s="200">
        <v>162976</v>
      </c>
      <c r="G538" s="177"/>
      <c r="H538" s="177"/>
      <c r="I538" s="177"/>
      <c r="J538" s="177"/>
      <c r="K538" s="177"/>
      <c r="L538" s="177">
        <f>9064+táj2!L538</f>
        <v>9064</v>
      </c>
      <c r="M538" s="177"/>
      <c r="N538" s="177"/>
      <c r="O538" s="177"/>
      <c r="P538" s="177"/>
      <c r="Q538" s="151">
        <f t="shared" si="43"/>
        <v>9064</v>
      </c>
    </row>
    <row r="539" spans="1:17" ht="20.25" customHeight="1" x14ac:dyDescent="0.25">
      <c r="A539" s="172"/>
      <c r="B539" s="172"/>
      <c r="C539" s="571" t="s">
        <v>1074</v>
      </c>
      <c r="D539" s="286" t="s">
        <v>1075</v>
      </c>
      <c r="E539" s="200"/>
      <c r="F539" s="200">
        <v>162977</v>
      </c>
      <c r="G539" s="177"/>
      <c r="H539" s="177"/>
      <c r="I539" s="177"/>
      <c r="J539" s="177"/>
      <c r="K539" s="177"/>
      <c r="L539" s="177">
        <f>1618+táj2!L539</f>
        <v>1618</v>
      </c>
      <c r="M539" s="177"/>
      <c r="N539" s="177"/>
      <c r="O539" s="177"/>
      <c r="P539" s="177"/>
      <c r="Q539" s="151">
        <f t="shared" si="43"/>
        <v>1618</v>
      </c>
    </row>
    <row r="540" spans="1:17" ht="20.25" customHeight="1" x14ac:dyDescent="0.25">
      <c r="A540" s="172"/>
      <c r="B540" s="172"/>
      <c r="C540" s="188" t="s">
        <v>1076</v>
      </c>
      <c r="D540" s="856" t="s">
        <v>1077</v>
      </c>
      <c r="E540" s="857"/>
      <c r="F540" s="200">
        <v>162978</v>
      </c>
      <c r="G540" s="556"/>
      <c r="H540" s="177"/>
      <c r="I540" s="177">
        <f>3810+táj2!I540</f>
        <v>3810</v>
      </c>
      <c r="J540" s="177"/>
      <c r="K540" s="177"/>
      <c r="L540" s="177">
        <f>1190+táj2!L540</f>
        <v>1190</v>
      </c>
      <c r="M540" s="177"/>
      <c r="N540" s="177"/>
      <c r="O540" s="177"/>
      <c r="P540" s="177"/>
      <c r="Q540" s="151">
        <f t="shared" si="43"/>
        <v>5000</v>
      </c>
    </row>
    <row r="541" spans="1:17" ht="16.5" customHeight="1" x14ac:dyDescent="0.25">
      <c r="A541" s="172"/>
      <c r="B541" s="172"/>
      <c r="C541" s="188" t="s">
        <v>23</v>
      </c>
      <c r="D541" s="221" t="s">
        <v>704</v>
      </c>
      <c r="E541" s="200"/>
      <c r="F541" s="200"/>
      <c r="G541" s="177"/>
      <c r="H541" s="177"/>
      <c r="I541" s="177"/>
      <c r="J541" s="177"/>
      <c r="K541" s="177"/>
      <c r="L541" s="177"/>
      <c r="M541" s="177"/>
      <c r="N541" s="177"/>
      <c r="O541" s="177"/>
      <c r="P541" s="177"/>
      <c r="Q541" s="151"/>
    </row>
    <row r="542" spans="1:17" ht="16.5" customHeight="1" x14ac:dyDescent="0.25">
      <c r="A542" s="172"/>
      <c r="B542" s="172"/>
      <c r="C542" s="172" t="s">
        <v>705</v>
      </c>
      <c r="D542" s="558" t="s">
        <v>1209</v>
      </c>
      <c r="E542" s="200"/>
      <c r="F542" s="200"/>
      <c r="G542" s="177"/>
      <c r="H542" s="177"/>
      <c r="I542" s="177"/>
      <c r="J542" s="177"/>
      <c r="K542" s="177"/>
      <c r="L542" s="177"/>
      <c r="M542" s="177"/>
      <c r="N542" s="177"/>
      <c r="O542" s="177"/>
      <c r="P542" s="177"/>
      <c r="Q542" s="151"/>
    </row>
    <row r="543" spans="1:17" ht="24" customHeight="1" x14ac:dyDescent="0.25">
      <c r="A543" s="639"/>
      <c r="B543" s="639"/>
      <c r="C543" s="639" t="s">
        <v>1249</v>
      </c>
      <c r="D543" s="649" t="s">
        <v>1250</v>
      </c>
      <c r="E543" s="640"/>
      <c r="F543" s="653">
        <v>163657</v>
      </c>
      <c r="G543" s="648"/>
      <c r="H543" s="648"/>
      <c r="I543" s="177">
        <f>0+táj2!I543</f>
        <v>2019</v>
      </c>
      <c r="J543" s="177"/>
      <c r="K543" s="177"/>
      <c r="L543" s="177">
        <f>25000+táj2!L543</f>
        <v>22981</v>
      </c>
      <c r="M543" s="648"/>
      <c r="N543" s="648"/>
      <c r="O543" s="648"/>
      <c r="P543" s="648"/>
      <c r="Q543" s="151">
        <f t="shared" si="43"/>
        <v>25000</v>
      </c>
    </row>
    <row r="544" spans="1:17" ht="16.5" customHeight="1" x14ac:dyDescent="0.25">
      <c r="A544" s="172"/>
      <c r="B544" s="172"/>
      <c r="C544" s="172"/>
      <c r="D544" s="370" t="s">
        <v>1026</v>
      </c>
      <c r="E544" s="200"/>
      <c r="F544" s="200"/>
      <c r="G544" s="177"/>
      <c r="H544" s="177"/>
      <c r="I544" s="177"/>
      <c r="J544" s="177"/>
      <c r="K544" s="177"/>
      <c r="L544" s="177"/>
      <c r="M544" s="177"/>
      <c r="N544" s="177"/>
      <c r="O544" s="177"/>
      <c r="P544" s="177"/>
      <c r="Q544" s="151"/>
    </row>
    <row r="545" spans="1:17" ht="27" customHeight="1" x14ac:dyDescent="0.25">
      <c r="A545" s="172"/>
      <c r="B545" s="172"/>
      <c r="C545" s="284" t="s">
        <v>1117</v>
      </c>
      <c r="D545" s="540" t="s">
        <v>167</v>
      </c>
      <c r="E545" s="200"/>
      <c r="F545" s="200">
        <v>163606</v>
      </c>
      <c r="G545" s="177">
        <f>400+táj2!G545</f>
        <v>400</v>
      </c>
      <c r="H545" s="177">
        <f>52+táj2!H545</f>
        <v>52</v>
      </c>
      <c r="I545" s="177">
        <f>13363+táj2!I545</f>
        <v>13363</v>
      </c>
      <c r="J545" s="177"/>
      <c r="K545" s="177"/>
      <c r="L545" s="177">
        <f>10200+táj2!L545</f>
        <v>10200</v>
      </c>
      <c r="M545" s="177"/>
      <c r="N545" s="177"/>
      <c r="O545" s="177"/>
      <c r="P545" s="177"/>
      <c r="Q545" s="151">
        <f t="shared" ref="Q545:Q568" si="44">SUM(G545:P545)</f>
        <v>24015</v>
      </c>
    </row>
    <row r="546" spans="1:17" ht="63.75" customHeight="1" x14ac:dyDescent="0.25">
      <c r="A546" s="172"/>
      <c r="B546" s="172"/>
      <c r="C546" s="284" t="s">
        <v>1118</v>
      </c>
      <c r="D546" s="541" t="s">
        <v>170</v>
      </c>
      <c r="E546" s="200"/>
      <c r="F546" s="200">
        <v>163607</v>
      </c>
      <c r="G546" s="177"/>
      <c r="H546" s="177"/>
      <c r="I546" s="177">
        <f>135954+táj2!I546</f>
        <v>135954</v>
      </c>
      <c r="J546" s="177"/>
      <c r="K546" s="177"/>
      <c r="L546" s="177">
        <f>391870+táj2!L546</f>
        <v>391870</v>
      </c>
      <c r="M546" s="177"/>
      <c r="N546" s="177"/>
      <c r="O546" s="177"/>
      <c r="P546" s="177"/>
      <c r="Q546" s="151">
        <f t="shared" si="44"/>
        <v>527824</v>
      </c>
    </row>
    <row r="547" spans="1:17" ht="40.5" customHeight="1" x14ac:dyDescent="0.25">
      <c r="A547" s="172"/>
      <c r="B547" s="172"/>
      <c r="C547" s="284" t="s">
        <v>706</v>
      </c>
      <c r="D547" s="541" t="s">
        <v>164</v>
      </c>
      <c r="E547" s="200"/>
      <c r="F547" s="200">
        <v>163608</v>
      </c>
      <c r="G547" s="177">
        <f>5148+táj2!G547</f>
        <v>5148</v>
      </c>
      <c r="H547" s="177">
        <f>1445+táj2!H547</f>
        <v>1445</v>
      </c>
      <c r="I547" s="177">
        <f>146195+táj2!I547</f>
        <v>148694</v>
      </c>
      <c r="J547" s="177"/>
      <c r="K547" s="177"/>
      <c r="L547" s="177">
        <f>454912+táj2!L547</f>
        <v>464168</v>
      </c>
      <c r="M547" s="177"/>
      <c r="N547" s="177"/>
      <c r="O547" s="177"/>
      <c r="P547" s="177"/>
      <c r="Q547" s="151">
        <f t="shared" si="44"/>
        <v>619455</v>
      </c>
    </row>
    <row r="548" spans="1:17" ht="24.75" customHeight="1" x14ac:dyDescent="0.25">
      <c r="A548" s="172"/>
      <c r="B548" s="172"/>
      <c r="C548" s="284" t="s">
        <v>707</v>
      </c>
      <c r="D548" s="541" t="s">
        <v>172</v>
      </c>
      <c r="E548" s="200"/>
      <c r="F548" s="200">
        <v>163609</v>
      </c>
      <c r="G548" s="177"/>
      <c r="H548" s="177"/>
      <c r="I548" s="177">
        <f>47383+táj2!I548</f>
        <v>47383</v>
      </c>
      <c r="J548" s="177"/>
      <c r="K548" s="177"/>
      <c r="L548" s="177">
        <f>150158+táj2!L548</f>
        <v>150158</v>
      </c>
      <c r="M548" s="177"/>
      <c r="N548" s="177"/>
      <c r="O548" s="177"/>
      <c r="P548" s="177"/>
      <c r="Q548" s="151">
        <f t="shared" si="44"/>
        <v>197541</v>
      </c>
    </row>
    <row r="549" spans="1:17" ht="41.25" customHeight="1" x14ac:dyDescent="0.25">
      <c r="A549" s="172"/>
      <c r="B549" s="172"/>
      <c r="C549" s="616" t="s">
        <v>708</v>
      </c>
      <c r="D549" s="682" t="s">
        <v>168</v>
      </c>
      <c r="E549" s="200"/>
      <c r="F549" s="200">
        <v>163611</v>
      </c>
      <c r="G549" s="177">
        <f>2000+táj2!G549</f>
        <v>2000</v>
      </c>
      <c r="H549" s="177">
        <f>540+táj2!H549</f>
        <v>540</v>
      </c>
      <c r="I549" s="177">
        <f>8459+táj2!I549</f>
        <v>8459</v>
      </c>
      <c r="J549" s="177"/>
      <c r="K549" s="177"/>
      <c r="L549" s="177">
        <f>129005+táj2!L549</f>
        <v>129005</v>
      </c>
      <c r="M549" s="177"/>
      <c r="N549" s="177"/>
      <c r="O549" s="177"/>
      <c r="P549" s="177"/>
      <c r="Q549" s="151">
        <f t="shared" si="44"/>
        <v>140004</v>
      </c>
    </row>
    <row r="550" spans="1:17" ht="41.25" customHeight="1" x14ac:dyDescent="0.25">
      <c r="A550" s="507"/>
      <c r="B550" s="507"/>
      <c r="C550" s="507" t="s">
        <v>709</v>
      </c>
      <c r="D550" s="544" t="s">
        <v>1002</v>
      </c>
      <c r="E550" s="200"/>
      <c r="F550" s="200">
        <v>163652</v>
      </c>
      <c r="G550" s="177">
        <f>3000+táj2!G550</f>
        <v>3000</v>
      </c>
      <c r="H550" s="177">
        <f>465+táj2!H550</f>
        <v>465</v>
      </c>
      <c r="I550" s="177">
        <f>7835+táj2!I550</f>
        <v>7835</v>
      </c>
      <c r="J550" s="177"/>
      <c r="K550" s="177"/>
      <c r="L550" s="177">
        <f>244598+táj2!L550</f>
        <v>244598</v>
      </c>
      <c r="M550" s="177"/>
      <c r="N550" s="177"/>
      <c r="O550" s="177"/>
      <c r="P550" s="177"/>
      <c r="Q550" s="151">
        <f t="shared" si="44"/>
        <v>255898</v>
      </c>
    </row>
    <row r="551" spans="1:17" ht="38.25" customHeight="1" x14ac:dyDescent="0.25">
      <c r="A551" s="172"/>
      <c r="B551" s="172"/>
      <c r="C551" s="225" t="s">
        <v>710</v>
      </c>
      <c r="D551" s="683" t="s">
        <v>127</v>
      </c>
      <c r="E551" s="200"/>
      <c r="F551" s="200">
        <v>163612</v>
      </c>
      <c r="G551" s="177"/>
      <c r="H551" s="177"/>
      <c r="I551" s="177">
        <f>14360+táj2!I551</f>
        <v>14360</v>
      </c>
      <c r="J551" s="177"/>
      <c r="K551" s="177"/>
      <c r="L551" s="177"/>
      <c r="M551" s="177"/>
      <c r="N551" s="177"/>
      <c r="O551" s="177"/>
      <c r="P551" s="177"/>
      <c r="Q551" s="151">
        <f t="shared" si="44"/>
        <v>14360</v>
      </c>
    </row>
    <row r="552" spans="1:17" ht="41.25" customHeight="1" x14ac:dyDescent="0.25">
      <c r="A552" s="172"/>
      <c r="B552" s="172"/>
      <c r="C552" s="284" t="s">
        <v>711</v>
      </c>
      <c r="D552" s="683" t="s">
        <v>714</v>
      </c>
      <c r="E552" s="200"/>
      <c r="F552" s="200">
        <v>163613</v>
      </c>
      <c r="G552" s="177"/>
      <c r="H552" s="177"/>
      <c r="I552" s="177">
        <f>10116+táj2!I552</f>
        <v>10116</v>
      </c>
      <c r="J552" s="177"/>
      <c r="K552" s="177"/>
      <c r="L552" s="177">
        <f>3970+táj2!L552</f>
        <v>2349</v>
      </c>
      <c r="M552" s="177"/>
      <c r="N552" s="177"/>
      <c r="O552" s="177"/>
      <c r="P552" s="177"/>
      <c r="Q552" s="151">
        <f t="shared" si="44"/>
        <v>12465</v>
      </c>
    </row>
    <row r="553" spans="1:17" ht="40.5" customHeight="1" x14ac:dyDescent="0.25">
      <c r="A553" s="172"/>
      <c r="B553" s="172"/>
      <c r="C553" s="284" t="s">
        <v>712</v>
      </c>
      <c r="D553" s="683" t="s">
        <v>165</v>
      </c>
      <c r="E553" s="200"/>
      <c r="F553" s="200">
        <v>163614</v>
      </c>
      <c r="G553" s="177">
        <f>2863+táj2!G553</f>
        <v>2863</v>
      </c>
      <c r="H553" s="177">
        <f>529+táj2!H553</f>
        <v>529</v>
      </c>
      <c r="I553" s="177"/>
      <c r="J553" s="177"/>
      <c r="K553" s="177"/>
      <c r="L553" s="177"/>
      <c r="M553" s="177"/>
      <c r="N553" s="177">
        <f>7285+táj2!N553</f>
        <v>7285</v>
      </c>
      <c r="O553" s="177"/>
      <c r="P553" s="177"/>
      <c r="Q553" s="151">
        <f t="shared" si="44"/>
        <v>10677</v>
      </c>
    </row>
    <row r="554" spans="1:17" ht="28.5" customHeight="1" x14ac:dyDescent="0.25">
      <c r="A554" s="172"/>
      <c r="B554" s="172"/>
      <c r="C554" s="284" t="s">
        <v>713</v>
      </c>
      <c r="D554" s="545" t="s">
        <v>169</v>
      </c>
      <c r="E554" s="200"/>
      <c r="F554" s="200">
        <v>163616</v>
      </c>
      <c r="G554" s="177">
        <f>2000+táj2!G554</f>
        <v>2000</v>
      </c>
      <c r="H554" s="177">
        <f>540+táj2!H554</f>
        <v>540</v>
      </c>
      <c r="I554" s="177">
        <f>14934+táj2!I554</f>
        <v>14934</v>
      </c>
      <c r="J554" s="177"/>
      <c r="K554" s="177"/>
      <c r="L554" s="177">
        <f>13825+táj2!L554</f>
        <v>13825</v>
      </c>
      <c r="M554" s="177"/>
      <c r="N554" s="177"/>
      <c r="O554" s="177"/>
      <c r="P554" s="177"/>
      <c r="Q554" s="151">
        <f t="shared" si="44"/>
        <v>31299</v>
      </c>
    </row>
    <row r="555" spans="1:17" ht="24" customHeight="1" x14ac:dyDescent="0.25">
      <c r="A555" s="172"/>
      <c r="B555" s="172"/>
      <c r="C555" s="284" t="s">
        <v>1119</v>
      </c>
      <c r="D555" s="545" t="s">
        <v>166</v>
      </c>
      <c r="E555" s="200"/>
      <c r="F555" s="200">
        <v>163623</v>
      </c>
      <c r="G555" s="177">
        <f>2431+táj2!G555</f>
        <v>0</v>
      </c>
      <c r="H555" s="177">
        <f>477+táj2!H555</f>
        <v>0</v>
      </c>
      <c r="I555" s="177"/>
      <c r="J555" s="177"/>
      <c r="K555" s="177"/>
      <c r="L555" s="177"/>
      <c r="M555" s="177"/>
      <c r="N555" s="177"/>
      <c r="O555" s="177"/>
      <c r="P555" s="177"/>
      <c r="Q555" s="151">
        <f t="shared" si="44"/>
        <v>0</v>
      </c>
    </row>
    <row r="556" spans="1:17" ht="24.75" customHeight="1" x14ac:dyDescent="0.25">
      <c r="A556" s="172"/>
      <c r="B556" s="172"/>
      <c r="C556" s="284" t="s">
        <v>715</v>
      </c>
      <c r="D556" s="193" t="s">
        <v>150</v>
      </c>
      <c r="E556" s="200"/>
      <c r="F556" s="200">
        <v>163625</v>
      </c>
      <c r="G556" s="177"/>
      <c r="H556" s="177"/>
      <c r="I556" s="177">
        <f>277840+táj2!I556</f>
        <v>277840</v>
      </c>
      <c r="J556" s="177"/>
      <c r="K556" s="177"/>
      <c r="L556" s="177">
        <f>803284+táj2!L556</f>
        <v>803284</v>
      </c>
      <c r="M556" s="177"/>
      <c r="N556" s="177"/>
      <c r="O556" s="177"/>
      <c r="P556" s="177"/>
      <c r="Q556" s="151">
        <f t="shared" si="44"/>
        <v>1081124</v>
      </c>
    </row>
    <row r="557" spans="1:17" ht="24.75" customHeight="1" x14ac:dyDescent="0.25">
      <c r="A557" s="172"/>
      <c r="B557" s="172"/>
      <c r="C557" s="284" t="s">
        <v>1120</v>
      </c>
      <c r="D557" s="276" t="s">
        <v>151</v>
      </c>
      <c r="E557" s="200"/>
      <c r="F557" s="200">
        <v>163626</v>
      </c>
      <c r="G557" s="177"/>
      <c r="H557" s="177"/>
      <c r="I557" s="177">
        <f>1591+táj2!I557</f>
        <v>1591</v>
      </c>
      <c r="J557" s="177"/>
      <c r="K557" s="177"/>
      <c r="L557" s="177">
        <f>14923+táj2!L557</f>
        <v>14923</v>
      </c>
      <c r="M557" s="177"/>
      <c r="N557" s="177"/>
      <c r="O557" s="177"/>
      <c r="P557" s="177"/>
      <c r="Q557" s="151">
        <f t="shared" si="44"/>
        <v>16514</v>
      </c>
    </row>
    <row r="558" spans="1:17" ht="29.25" customHeight="1" x14ac:dyDescent="0.25">
      <c r="A558" s="172"/>
      <c r="B558" s="172"/>
      <c r="C558" s="284" t="s">
        <v>716</v>
      </c>
      <c r="D558" s="549" t="s">
        <v>171</v>
      </c>
      <c r="E558" s="200"/>
      <c r="F558" s="200">
        <v>163627</v>
      </c>
      <c r="G558" s="177"/>
      <c r="H558" s="177"/>
      <c r="I558" s="177">
        <f>22292+táj2!I558</f>
        <v>22292</v>
      </c>
      <c r="J558" s="177"/>
      <c r="K558" s="177"/>
      <c r="L558" s="177">
        <f>142973+táj2!L558</f>
        <v>142973</v>
      </c>
      <c r="M558" s="177"/>
      <c r="N558" s="177"/>
      <c r="O558" s="177"/>
      <c r="P558" s="177"/>
      <c r="Q558" s="151">
        <f t="shared" si="44"/>
        <v>165265</v>
      </c>
    </row>
    <row r="559" spans="1:17" ht="29.25" customHeight="1" x14ac:dyDescent="0.25">
      <c r="A559" s="172"/>
      <c r="B559" s="172"/>
      <c r="C559" s="284" t="s">
        <v>717</v>
      </c>
      <c r="D559" s="276" t="s">
        <v>725</v>
      </c>
      <c r="E559" s="200"/>
      <c r="F559" s="200">
        <v>163628</v>
      </c>
      <c r="G559" s="177"/>
      <c r="H559" s="177"/>
      <c r="I559" s="177">
        <f>5334+táj2!I559</f>
        <v>5334</v>
      </c>
      <c r="J559" s="177"/>
      <c r="K559" s="177"/>
      <c r="L559" s="177"/>
      <c r="M559" s="177"/>
      <c r="N559" s="177"/>
      <c r="O559" s="177"/>
      <c r="P559" s="177"/>
      <c r="Q559" s="151">
        <f t="shared" si="44"/>
        <v>5334</v>
      </c>
    </row>
    <row r="560" spans="1:17" ht="27" customHeight="1" x14ac:dyDescent="0.25">
      <c r="A560" s="172"/>
      <c r="B560" s="172"/>
      <c r="C560" s="284" t="s">
        <v>718</v>
      </c>
      <c r="D560" s="684" t="s">
        <v>723</v>
      </c>
      <c r="E560" s="200"/>
      <c r="F560" s="200">
        <v>163629</v>
      </c>
      <c r="G560" s="177"/>
      <c r="H560" s="177"/>
      <c r="I560" s="177">
        <f>37216+táj2!I560</f>
        <v>37216</v>
      </c>
      <c r="J560" s="177"/>
      <c r="K560" s="177"/>
      <c r="L560" s="177">
        <f>5740+táj2!L560</f>
        <v>5740</v>
      </c>
      <c r="M560" s="177"/>
      <c r="N560" s="177"/>
      <c r="O560" s="177"/>
      <c r="P560" s="177"/>
      <c r="Q560" s="151">
        <f t="shared" si="44"/>
        <v>42956</v>
      </c>
    </row>
    <row r="561" spans="1:17" ht="39.75" customHeight="1" x14ac:dyDescent="0.25">
      <c r="A561" s="172"/>
      <c r="B561" s="172"/>
      <c r="C561" s="284" t="s">
        <v>719</v>
      </c>
      <c r="D561" s="205" t="s">
        <v>111</v>
      </c>
      <c r="E561" s="200"/>
      <c r="F561" s="200">
        <v>163633</v>
      </c>
      <c r="G561" s="177"/>
      <c r="H561" s="177"/>
      <c r="I561" s="177">
        <f>95252+táj2!I561</f>
        <v>95252</v>
      </c>
      <c r="J561" s="177"/>
      <c r="K561" s="177"/>
      <c r="L561" s="177">
        <f>5599+táj2!L561</f>
        <v>5599</v>
      </c>
      <c r="M561" s="177"/>
      <c r="N561" s="177"/>
      <c r="O561" s="177"/>
      <c r="P561" s="177"/>
      <c r="Q561" s="151">
        <f t="shared" si="44"/>
        <v>100851</v>
      </c>
    </row>
    <row r="562" spans="1:17" ht="40.5" customHeight="1" x14ac:dyDescent="0.25">
      <c r="A562" s="172"/>
      <c r="B562" s="172"/>
      <c r="C562" s="284" t="s">
        <v>720</v>
      </c>
      <c r="D562" s="276" t="s">
        <v>936</v>
      </c>
      <c r="E562" s="200"/>
      <c r="F562" s="200">
        <v>163637</v>
      </c>
      <c r="G562" s="177"/>
      <c r="H562" s="177"/>
      <c r="I562" s="177">
        <f>12572+táj2!I562</f>
        <v>12572</v>
      </c>
      <c r="J562" s="177"/>
      <c r="K562" s="177"/>
      <c r="L562" s="177">
        <f>66860+táj2!L562</f>
        <v>68481</v>
      </c>
      <c r="M562" s="177"/>
      <c r="N562" s="177"/>
      <c r="O562" s="177"/>
      <c r="P562" s="177"/>
      <c r="Q562" s="151">
        <f t="shared" si="44"/>
        <v>81053</v>
      </c>
    </row>
    <row r="563" spans="1:17" ht="29.25" customHeight="1" x14ac:dyDescent="0.25">
      <c r="A563" s="172"/>
      <c r="B563" s="172"/>
      <c r="C563" s="284" t="s">
        <v>721</v>
      </c>
      <c r="D563" s="205" t="s">
        <v>42</v>
      </c>
      <c r="E563" s="200"/>
      <c r="F563" s="200">
        <v>163638</v>
      </c>
      <c r="G563" s="177">
        <f>2322+táj2!G563</f>
        <v>2322</v>
      </c>
      <c r="H563" s="177">
        <f>453+táj2!H563</f>
        <v>453</v>
      </c>
      <c r="I563" s="177">
        <f>1718+táj2!I563</f>
        <v>1718</v>
      </c>
      <c r="J563" s="177"/>
      <c r="K563" s="177"/>
      <c r="L563" s="177"/>
      <c r="M563" s="177"/>
      <c r="N563" s="177"/>
      <c r="O563" s="177"/>
      <c r="P563" s="177"/>
      <c r="Q563" s="151">
        <f t="shared" si="44"/>
        <v>4493</v>
      </c>
    </row>
    <row r="564" spans="1:17" ht="32.25" customHeight="1" x14ac:dyDescent="0.25">
      <c r="A564" s="172"/>
      <c r="B564" s="172"/>
      <c r="C564" s="284" t="s">
        <v>722</v>
      </c>
      <c r="D564" s="205" t="s">
        <v>43</v>
      </c>
      <c r="E564" s="200"/>
      <c r="F564" s="200">
        <v>163639</v>
      </c>
      <c r="G564" s="177">
        <f>2613+táj2!G564</f>
        <v>2613</v>
      </c>
      <c r="H564" s="177">
        <f>429+táj2!H564</f>
        <v>429</v>
      </c>
      <c r="I564" s="177">
        <f>719+táj2!I564</f>
        <v>719</v>
      </c>
      <c r="J564" s="177"/>
      <c r="K564" s="177"/>
      <c r="L564" s="177"/>
      <c r="M564" s="177"/>
      <c r="N564" s="177"/>
      <c r="O564" s="177"/>
      <c r="P564" s="177"/>
      <c r="Q564" s="151">
        <f t="shared" si="44"/>
        <v>3761</v>
      </c>
    </row>
    <row r="565" spans="1:17" ht="30.75" customHeight="1" x14ac:dyDescent="0.25">
      <c r="A565" s="172"/>
      <c r="B565" s="172"/>
      <c r="C565" s="284" t="s">
        <v>724</v>
      </c>
      <c r="D565" s="205" t="s">
        <v>44</v>
      </c>
      <c r="E565" s="200"/>
      <c r="F565" s="200">
        <v>163640</v>
      </c>
      <c r="G565" s="177"/>
      <c r="H565" s="177"/>
      <c r="I565" s="177">
        <f>1661+táj2!I565</f>
        <v>1661</v>
      </c>
      <c r="J565" s="177"/>
      <c r="K565" s="177"/>
      <c r="L565" s="177"/>
      <c r="M565" s="177"/>
      <c r="N565" s="177"/>
      <c r="O565" s="177"/>
      <c r="P565" s="177"/>
      <c r="Q565" s="151">
        <f t="shared" si="44"/>
        <v>1661</v>
      </c>
    </row>
    <row r="566" spans="1:17" ht="30.75" customHeight="1" x14ac:dyDescent="0.25">
      <c r="A566" s="172"/>
      <c r="B566" s="172"/>
      <c r="C566" s="567" t="s">
        <v>726</v>
      </c>
      <c r="D566" s="631" t="s">
        <v>937</v>
      </c>
      <c r="E566" s="200"/>
      <c r="F566" s="200">
        <v>163648</v>
      </c>
      <c r="G566" s="177">
        <f>170+táj2!G566</f>
        <v>170</v>
      </c>
      <c r="H566" s="177">
        <f>19+táj2!H566</f>
        <v>19</v>
      </c>
      <c r="I566" s="177"/>
      <c r="J566" s="177"/>
      <c r="K566" s="177"/>
      <c r="L566" s="177"/>
      <c r="M566" s="177"/>
      <c r="N566" s="177"/>
      <c r="O566" s="177"/>
      <c r="P566" s="177"/>
      <c r="Q566" s="151">
        <f t="shared" si="44"/>
        <v>189</v>
      </c>
    </row>
    <row r="567" spans="1:17" ht="35.25" customHeight="1" x14ac:dyDescent="0.25">
      <c r="A567" s="172"/>
      <c r="B567" s="172"/>
      <c r="C567" s="630" t="s">
        <v>727</v>
      </c>
      <c r="D567" s="632" t="s">
        <v>935</v>
      </c>
      <c r="E567" s="574"/>
      <c r="F567" s="200">
        <v>163653</v>
      </c>
      <c r="G567" s="177">
        <f>6652+táj2!G567</f>
        <v>6652</v>
      </c>
      <c r="H567" s="177">
        <f>1031+táj2!H567</f>
        <v>1031</v>
      </c>
      <c r="I567" s="177">
        <f>23896+táj2!I567</f>
        <v>23896</v>
      </c>
      <c r="J567" s="177"/>
      <c r="K567" s="177"/>
      <c r="L567" s="177">
        <f>727198+táj2!L567</f>
        <v>727198</v>
      </c>
      <c r="M567" s="177"/>
      <c r="N567" s="177"/>
      <c r="O567" s="177"/>
      <c r="P567" s="177"/>
      <c r="Q567" s="151">
        <f t="shared" si="44"/>
        <v>758777</v>
      </c>
    </row>
    <row r="568" spans="1:17" ht="21" customHeight="1" x14ac:dyDescent="0.25">
      <c r="A568" s="172"/>
      <c r="B568" s="172"/>
      <c r="C568" s="568" t="s">
        <v>728</v>
      </c>
      <c r="D568" s="633" t="s">
        <v>729</v>
      </c>
      <c r="E568" s="200"/>
      <c r="F568" s="200">
        <v>162630</v>
      </c>
      <c r="G568" s="177"/>
      <c r="H568" s="177"/>
      <c r="I568" s="177">
        <f>1850+táj2!I568</f>
        <v>1850</v>
      </c>
      <c r="J568" s="177"/>
      <c r="K568" s="177"/>
      <c r="L568" s="177">
        <f>443+táj2!L568</f>
        <v>443</v>
      </c>
      <c r="M568" s="177"/>
      <c r="N568" s="177"/>
      <c r="O568" s="177"/>
      <c r="P568" s="177"/>
      <c r="Q568" s="151">
        <f t="shared" si="44"/>
        <v>2293</v>
      </c>
    </row>
    <row r="569" spans="1:17" ht="16.5" customHeight="1" x14ac:dyDescent="0.25">
      <c r="A569" s="172"/>
      <c r="B569" s="172"/>
      <c r="C569" s="283" t="s">
        <v>730</v>
      </c>
      <c r="D569" s="569" t="s">
        <v>731</v>
      </c>
      <c r="E569" s="200"/>
      <c r="F569" s="200"/>
      <c r="G569" s="177"/>
      <c r="H569" s="177"/>
      <c r="I569" s="177"/>
      <c r="J569" s="177"/>
      <c r="K569" s="177"/>
      <c r="L569" s="177"/>
      <c r="M569" s="177"/>
      <c r="N569" s="177"/>
      <c r="O569" s="177"/>
      <c r="P569" s="177"/>
      <c r="Q569" s="151"/>
    </row>
    <row r="570" spans="1:17" ht="16.5" customHeight="1" x14ac:dyDescent="0.25">
      <c r="A570" s="172"/>
      <c r="B570" s="172"/>
      <c r="C570" s="284"/>
      <c r="D570" s="186" t="s">
        <v>1026</v>
      </c>
      <c r="E570" s="200"/>
      <c r="F570" s="200"/>
      <c r="G570" s="177"/>
      <c r="H570" s="177"/>
      <c r="I570" s="177"/>
      <c r="J570" s="177"/>
      <c r="K570" s="177"/>
      <c r="L570" s="177"/>
      <c r="M570" s="177"/>
      <c r="N570" s="177"/>
      <c r="O570" s="177"/>
      <c r="P570" s="177"/>
      <c r="Q570" s="151"/>
    </row>
    <row r="571" spans="1:17" ht="34.5" customHeight="1" x14ac:dyDescent="0.25">
      <c r="A571" s="172"/>
      <c r="B571" s="172"/>
      <c r="C571" s="284" t="s">
        <v>732</v>
      </c>
      <c r="D571" s="276" t="s">
        <v>733</v>
      </c>
      <c r="E571" s="200"/>
      <c r="F571" s="200">
        <v>163621</v>
      </c>
      <c r="G571" s="177">
        <f>514+táj2!G571</f>
        <v>514</v>
      </c>
      <c r="H571" s="177">
        <f>121+táj2!H571</f>
        <v>121</v>
      </c>
      <c r="I571" s="177">
        <f>1290680+táj2!I571</f>
        <v>1201680</v>
      </c>
      <c r="J571" s="177"/>
      <c r="K571" s="177"/>
      <c r="L571" s="177">
        <f>2949036+táj2!L571</f>
        <v>3020950</v>
      </c>
      <c r="M571" s="177">
        <f>920262+táj2!M571</f>
        <v>943304</v>
      </c>
      <c r="N571" s="177"/>
      <c r="O571" s="177"/>
      <c r="P571" s="177"/>
      <c r="Q571" s="151">
        <f t="shared" ref="Q571:Q579" si="45">SUM(G571:P571)</f>
        <v>5166569</v>
      </c>
    </row>
    <row r="572" spans="1:17" ht="16.5" customHeight="1" x14ac:dyDescent="0.25">
      <c r="A572" s="172"/>
      <c r="B572" s="172"/>
      <c r="C572" s="284" t="s">
        <v>734</v>
      </c>
      <c r="D572" s="185" t="s">
        <v>735</v>
      </c>
      <c r="E572" s="200"/>
      <c r="F572" s="200">
        <v>162687</v>
      </c>
      <c r="G572" s="177"/>
      <c r="H572" s="177"/>
      <c r="I572" s="177">
        <f>175315+táj2!I572</f>
        <v>175315</v>
      </c>
      <c r="J572" s="177"/>
      <c r="K572" s="177"/>
      <c r="L572" s="177">
        <f>550499+táj2!L572</f>
        <v>550499</v>
      </c>
      <c r="M572" s="177">
        <f>57979+táj2!M572</f>
        <v>57979</v>
      </c>
      <c r="N572" s="177"/>
      <c r="O572" s="177"/>
      <c r="P572" s="177"/>
      <c r="Q572" s="151">
        <f t="shared" si="45"/>
        <v>783793</v>
      </c>
    </row>
    <row r="573" spans="1:17" ht="27.75" customHeight="1" x14ac:dyDescent="0.25">
      <c r="A573" s="172"/>
      <c r="B573" s="172"/>
      <c r="C573" s="284" t="s">
        <v>736</v>
      </c>
      <c r="D573" s="276" t="s">
        <v>737</v>
      </c>
      <c r="E573" s="200"/>
      <c r="F573" s="200">
        <v>163702</v>
      </c>
      <c r="G573" s="177"/>
      <c r="H573" s="177"/>
      <c r="I573" s="177">
        <f>279400+táj2!I573</f>
        <v>279400</v>
      </c>
      <c r="J573" s="177"/>
      <c r="K573" s="177"/>
      <c r="L573" s="177">
        <f>1132227+táj2!L573</f>
        <v>1132227</v>
      </c>
      <c r="M573" s="177"/>
      <c r="N573" s="177"/>
      <c r="O573" s="177"/>
      <c r="P573" s="177"/>
      <c r="Q573" s="151">
        <f t="shared" si="45"/>
        <v>1411627</v>
      </c>
    </row>
    <row r="574" spans="1:17" ht="27.75" customHeight="1" x14ac:dyDescent="0.25">
      <c r="A574" s="172"/>
      <c r="B574" s="172"/>
      <c r="C574" s="284" t="s">
        <v>738</v>
      </c>
      <c r="D574" s="276" t="s">
        <v>740</v>
      </c>
      <c r="E574" s="200"/>
      <c r="F574" s="200">
        <v>163641</v>
      </c>
      <c r="G574" s="177"/>
      <c r="H574" s="177"/>
      <c r="I574" s="177"/>
      <c r="J574" s="177"/>
      <c r="K574" s="177"/>
      <c r="L574" s="177"/>
      <c r="M574" s="177">
        <f>494+táj2!M574</f>
        <v>494</v>
      </c>
      <c r="N574" s="177"/>
      <c r="O574" s="177"/>
      <c r="P574" s="177"/>
      <c r="Q574" s="151">
        <f t="shared" si="45"/>
        <v>494</v>
      </c>
    </row>
    <row r="575" spans="1:17" ht="27.75" customHeight="1" x14ac:dyDescent="0.25">
      <c r="A575" s="172"/>
      <c r="B575" s="172"/>
      <c r="C575" s="284" t="s">
        <v>739</v>
      </c>
      <c r="D575" s="545" t="s">
        <v>742</v>
      </c>
      <c r="E575" s="200"/>
      <c r="F575" s="200">
        <v>163644</v>
      </c>
      <c r="G575" s="177"/>
      <c r="H575" s="177"/>
      <c r="I575" s="177">
        <f>2780+táj2!I575</f>
        <v>2780</v>
      </c>
      <c r="J575" s="177"/>
      <c r="K575" s="177"/>
      <c r="L575" s="177">
        <f>218367+táj2!L575</f>
        <v>218367</v>
      </c>
      <c r="M575" s="177"/>
      <c r="N575" s="177"/>
      <c r="O575" s="177"/>
      <c r="P575" s="177"/>
      <c r="Q575" s="151">
        <f t="shared" si="45"/>
        <v>221147</v>
      </c>
    </row>
    <row r="576" spans="1:17" ht="27.75" customHeight="1" x14ac:dyDescent="0.25">
      <c r="A576" s="172"/>
      <c r="B576" s="172"/>
      <c r="C576" s="284" t="s">
        <v>741</v>
      </c>
      <c r="D576" s="205" t="s">
        <v>879</v>
      </c>
      <c r="E576" s="200"/>
      <c r="F576" s="200">
        <v>163650</v>
      </c>
      <c r="G576" s="177"/>
      <c r="H576" s="177"/>
      <c r="I576" s="177">
        <f>1408337+táj2!I576</f>
        <v>1418144</v>
      </c>
      <c r="J576" s="177"/>
      <c r="K576" s="177"/>
      <c r="L576" s="177">
        <f>6546270+táj2!L576</f>
        <v>6546270</v>
      </c>
      <c r="M576" s="177">
        <f>4409622+táj2!M576</f>
        <v>4409622</v>
      </c>
      <c r="N576" s="177"/>
      <c r="O576" s="177"/>
      <c r="P576" s="177"/>
      <c r="Q576" s="151">
        <f t="shared" si="45"/>
        <v>12374036</v>
      </c>
    </row>
    <row r="577" spans="1:17" ht="20.25" customHeight="1" x14ac:dyDescent="0.25">
      <c r="A577" s="172"/>
      <c r="B577" s="172"/>
      <c r="C577" s="283" t="s">
        <v>743</v>
      </c>
      <c r="D577" s="415" t="s">
        <v>744</v>
      </c>
      <c r="E577" s="200"/>
      <c r="F577" s="200"/>
      <c r="G577" s="177"/>
      <c r="H577" s="177"/>
      <c r="I577" s="177"/>
      <c r="J577" s="177"/>
      <c r="K577" s="177"/>
      <c r="L577" s="177"/>
      <c r="M577" s="177"/>
      <c r="N577" s="177"/>
      <c r="O577" s="177"/>
      <c r="P577" s="177"/>
      <c r="Q577" s="151"/>
    </row>
    <row r="578" spans="1:17" ht="26.25" customHeight="1" x14ac:dyDescent="0.25">
      <c r="A578" s="172"/>
      <c r="B578" s="172"/>
      <c r="C578" s="283" t="s">
        <v>1078</v>
      </c>
      <c r="D578" s="554" t="s">
        <v>1079</v>
      </c>
      <c r="E578" s="555"/>
      <c r="F578" s="803" t="s">
        <v>1313</v>
      </c>
      <c r="G578" s="177">
        <f>9500+táj2!G578</f>
        <v>0</v>
      </c>
      <c r="H578" s="177">
        <f>1500+táj2!H578</f>
        <v>0</v>
      </c>
      <c r="I578" s="177">
        <f>442358+táj2!I578</f>
        <v>811910</v>
      </c>
      <c r="J578" s="556"/>
      <c r="K578" s="556"/>
      <c r="L578" s="177">
        <f>8238807+táj2!L578</f>
        <v>7882788</v>
      </c>
      <c r="M578" s="556"/>
      <c r="N578" s="556"/>
      <c r="O578" s="556"/>
      <c r="P578" s="556"/>
      <c r="Q578" s="268">
        <f t="shared" si="45"/>
        <v>8694698</v>
      </c>
    </row>
    <row r="579" spans="1:17" ht="26.25" customHeight="1" x14ac:dyDescent="0.25">
      <c r="A579" s="172"/>
      <c r="B579" s="172"/>
      <c r="C579" s="283" t="s">
        <v>1080</v>
      </c>
      <c r="D579" s="554" t="s">
        <v>1082</v>
      </c>
      <c r="E579" s="555"/>
      <c r="F579" s="555">
        <v>163656</v>
      </c>
      <c r="G579" s="556"/>
      <c r="H579" s="556"/>
      <c r="I579" s="177">
        <f>28915+táj2!I579</f>
        <v>28915</v>
      </c>
      <c r="J579" s="556"/>
      <c r="K579" s="556"/>
      <c r="L579" s="177">
        <f>85725+táj2!L579</f>
        <v>85725</v>
      </c>
      <c r="M579" s="556"/>
      <c r="N579" s="556"/>
      <c r="O579" s="556"/>
      <c r="P579" s="556"/>
      <c r="Q579" s="268">
        <f t="shared" si="45"/>
        <v>114640</v>
      </c>
    </row>
    <row r="580" spans="1:17" ht="18.75" customHeight="1" x14ac:dyDescent="0.25">
      <c r="A580" s="172"/>
      <c r="B580" s="172"/>
      <c r="C580" s="283"/>
      <c r="D580" s="186" t="s">
        <v>1026</v>
      </c>
      <c r="E580" s="200"/>
      <c r="F580" s="200"/>
      <c r="G580" s="177"/>
      <c r="H580" s="177"/>
      <c r="I580" s="177"/>
      <c r="J580" s="177"/>
      <c r="K580" s="177"/>
      <c r="L580" s="177"/>
      <c r="M580" s="177"/>
      <c r="N580" s="177"/>
      <c r="O580" s="177"/>
      <c r="P580" s="177"/>
      <c r="Q580" s="151"/>
    </row>
    <row r="581" spans="1:17" ht="18" customHeight="1" x14ac:dyDescent="0.25">
      <c r="A581" s="172"/>
      <c r="B581" s="172"/>
      <c r="C581" s="284" t="s">
        <v>745</v>
      </c>
      <c r="D581" s="276" t="s">
        <v>0</v>
      </c>
      <c r="E581" s="200"/>
      <c r="F581" s="200">
        <v>163643</v>
      </c>
      <c r="G581" s="177">
        <f>1692+táj2!G581</f>
        <v>1692</v>
      </c>
      <c r="H581" s="177">
        <f>330+táj2!H581</f>
        <v>330</v>
      </c>
      <c r="I581" s="177">
        <f>2449+táj2!I581</f>
        <v>2449</v>
      </c>
      <c r="J581" s="177"/>
      <c r="K581" s="177"/>
      <c r="L581" s="177"/>
      <c r="M581" s="177"/>
      <c r="N581" s="177"/>
      <c r="O581" s="177"/>
      <c r="P581" s="177"/>
      <c r="Q581" s="151">
        <f t="shared" ref="Q581:Q586" si="46">SUM(G581:P581)</f>
        <v>4471</v>
      </c>
    </row>
    <row r="582" spans="1:17" ht="28.95" customHeight="1" x14ac:dyDescent="0.25">
      <c r="A582" s="172"/>
      <c r="B582" s="172"/>
      <c r="C582" s="284" t="s">
        <v>746</v>
      </c>
      <c r="D582" s="276" t="s">
        <v>747</v>
      </c>
      <c r="E582" s="200"/>
      <c r="F582" s="200">
        <v>163645</v>
      </c>
      <c r="G582" s="177">
        <f>418+táj2!G582</f>
        <v>418</v>
      </c>
      <c r="H582" s="177">
        <f>82+táj2!H582</f>
        <v>82</v>
      </c>
      <c r="I582" s="177">
        <f>6722+táj2!I582</f>
        <v>6722</v>
      </c>
      <c r="J582" s="177"/>
      <c r="K582" s="177"/>
      <c r="L582" s="177"/>
      <c r="M582" s="177"/>
      <c r="N582" s="177"/>
      <c r="O582" s="177"/>
      <c r="P582" s="177"/>
      <c r="Q582" s="151">
        <f t="shared" si="46"/>
        <v>7222</v>
      </c>
    </row>
    <row r="583" spans="1:17" ht="17.25" customHeight="1" x14ac:dyDescent="0.25">
      <c r="A583" s="172"/>
      <c r="B583" s="172"/>
      <c r="C583" s="284" t="s">
        <v>748</v>
      </c>
      <c r="D583" s="276" t="s">
        <v>204</v>
      </c>
      <c r="E583" s="200"/>
      <c r="F583" s="200">
        <v>162607</v>
      </c>
      <c r="G583" s="177">
        <f>4252+táj2!G583</f>
        <v>4252</v>
      </c>
      <c r="H583" s="177">
        <f>843+táj2!H583</f>
        <v>843</v>
      </c>
      <c r="I583" s="177"/>
      <c r="J583" s="177"/>
      <c r="K583" s="177"/>
      <c r="L583" s="177"/>
      <c r="M583" s="177"/>
      <c r="N583" s="177"/>
      <c r="O583" s="177"/>
      <c r="P583" s="177"/>
      <c r="Q583" s="151">
        <f t="shared" si="46"/>
        <v>5095</v>
      </c>
    </row>
    <row r="584" spans="1:17" ht="20.25" customHeight="1" x14ac:dyDescent="0.25">
      <c r="A584" s="172"/>
      <c r="B584" s="172"/>
      <c r="C584" s="284" t="s">
        <v>993</v>
      </c>
      <c r="D584" s="276" t="s">
        <v>1081</v>
      </c>
      <c r="E584" s="200"/>
      <c r="F584" s="200">
        <v>163655</v>
      </c>
      <c r="G584" s="177"/>
      <c r="H584" s="177"/>
      <c r="I584" s="177"/>
      <c r="J584" s="177"/>
      <c r="K584" s="177"/>
      <c r="L584" s="177">
        <f>75000+táj2!L584</f>
        <v>75000</v>
      </c>
      <c r="M584" s="177"/>
      <c r="N584" s="177"/>
      <c r="O584" s="177"/>
      <c r="P584" s="177"/>
      <c r="Q584" s="151">
        <f t="shared" si="46"/>
        <v>75000</v>
      </c>
    </row>
    <row r="585" spans="1:17" ht="24.75" customHeight="1" x14ac:dyDescent="0.25">
      <c r="A585" s="172"/>
      <c r="B585" s="172"/>
      <c r="C585" s="284" t="s">
        <v>994</v>
      </c>
      <c r="D585" s="276" t="s">
        <v>753</v>
      </c>
      <c r="E585" s="200"/>
      <c r="F585" s="200">
        <v>162640</v>
      </c>
      <c r="G585" s="177"/>
      <c r="H585" s="177"/>
      <c r="I585" s="177">
        <f>137601+táj2!I585</f>
        <v>137601</v>
      </c>
      <c r="J585" s="177"/>
      <c r="K585" s="177"/>
      <c r="L585" s="177"/>
      <c r="M585" s="177"/>
      <c r="N585" s="177"/>
      <c r="O585" s="177"/>
      <c r="P585" s="177"/>
      <c r="Q585" s="151">
        <f t="shared" si="46"/>
        <v>137601</v>
      </c>
    </row>
    <row r="586" spans="1:17" ht="22.5" customHeight="1" x14ac:dyDescent="0.25">
      <c r="A586" s="172"/>
      <c r="B586" s="172"/>
      <c r="C586" s="284" t="s">
        <v>995</v>
      </c>
      <c r="D586" s="193" t="s">
        <v>880</v>
      </c>
      <c r="E586" s="200"/>
      <c r="F586" s="200">
        <v>163651</v>
      </c>
      <c r="G586" s="177"/>
      <c r="H586" s="177"/>
      <c r="I586" s="177">
        <f>14433+táj2!I586</f>
        <v>14433</v>
      </c>
      <c r="J586" s="177"/>
      <c r="K586" s="177"/>
      <c r="L586" s="177">
        <f>22820+táj2!L586</f>
        <v>22820</v>
      </c>
      <c r="M586" s="177"/>
      <c r="N586" s="177"/>
      <c r="O586" s="177"/>
      <c r="P586" s="177"/>
      <c r="Q586" s="151">
        <f t="shared" si="46"/>
        <v>37253</v>
      </c>
    </row>
    <row r="587" spans="1:17" ht="18.75" customHeight="1" x14ac:dyDescent="0.25">
      <c r="A587" s="172"/>
      <c r="B587" s="172"/>
      <c r="C587" s="285" t="s">
        <v>749</v>
      </c>
      <c r="D587" s="634" t="s">
        <v>750</v>
      </c>
      <c r="E587" s="200"/>
      <c r="F587" s="200"/>
      <c r="G587" s="177"/>
      <c r="H587" s="177"/>
      <c r="I587" s="177"/>
      <c r="J587" s="177"/>
      <c r="K587" s="177"/>
      <c r="L587" s="177"/>
      <c r="M587" s="177"/>
      <c r="N587" s="177"/>
      <c r="O587" s="177"/>
      <c r="P587" s="177"/>
      <c r="Q587" s="151"/>
    </row>
    <row r="588" spans="1:17" ht="19.5" customHeight="1" x14ac:dyDescent="0.25">
      <c r="A588" s="172"/>
      <c r="B588" s="172"/>
      <c r="C588" s="172" t="s">
        <v>751</v>
      </c>
      <c r="D588" s="635" t="s">
        <v>938</v>
      </c>
      <c r="E588" s="640"/>
      <c r="F588" s="638">
        <v>162612</v>
      </c>
      <c r="G588" s="151"/>
      <c r="H588" s="151"/>
      <c r="I588" s="177"/>
      <c r="J588" s="151"/>
      <c r="K588" s="151"/>
      <c r="L588" s="177">
        <f>7243+táj2!L588</f>
        <v>7243</v>
      </c>
      <c r="M588" s="151"/>
      <c r="N588" s="151"/>
      <c r="O588" s="151"/>
      <c r="P588" s="151"/>
      <c r="Q588" s="151">
        <f t="shared" ref="Q588:Q593" si="47">SUM(G588:P588)</f>
        <v>7243</v>
      </c>
    </row>
    <row r="589" spans="1:17" ht="18" customHeight="1" x14ac:dyDescent="0.25">
      <c r="A589" s="172"/>
      <c r="B589" s="172"/>
      <c r="C589" s="172" t="s">
        <v>752</v>
      </c>
      <c r="D589" s="635" t="s">
        <v>939</v>
      </c>
      <c r="E589" s="286"/>
      <c r="F589" s="638">
        <v>162613</v>
      </c>
      <c r="G589" s="151"/>
      <c r="H589" s="151"/>
      <c r="I589" s="177"/>
      <c r="J589" s="151"/>
      <c r="K589" s="151"/>
      <c r="L589" s="177">
        <f>1500+táj2!L589</f>
        <v>1500</v>
      </c>
      <c r="M589" s="177">
        <f>3160+táj2!M589</f>
        <v>3160</v>
      </c>
      <c r="N589" s="151"/>
      <c r="O589" s="151"/>
      <c r="P589" s="151"/>
      <c r="Q589" s="151">
        <f t="shared" si="47"/>
        <v>4660</v>
      </c>
    </row>
    <row r="590" spans="1:17" ht="22.5" customHeight="1" x14ac:dyDescent="0.25">
      <c r="A590" s="172"/>
      <c r="B590" s="172"/>
      <c r="C590" s="188" t="s">
        <v>996</v>
      </c>
      <c r="D590" s="193" t="s">
        <v>754</v>
      </c>
      <c r="E590" s="200"/>
      <c r="F590" s="200">
        <v>162633</v>
      </c>
      <c r="G590" s="177"/>
      <c r="H590" s="177"/>
      <c r="I590" s="177">
        <f>11473+táj2!I590</f>
        <v>11473</v>
      </c>
      <c r="J590" s="177"/>
      <c r="K590" s="177"/>
      <c r="L590" s="177"/>
      <c r="M590" s="177"/>
      <c r="N590" s="177"/>
      <c r="O590" s="177"/>
      <c r="P590" s="177"/>
      <c r="Q590" s="151">
        <f t="shared" si="47"/>
        <v>11473</v>
      </c>
    </row>
    <row r="591" spans="1:17" ht="27" customHeight="1" x14ac:dyDescent="0.25">
      <c r="A591" s="172"/>
      <c r="B591" s="172"/>
      <c r="C591" s="188" t="s">
        <v>997</v>
      </c>
      <c r="D591" s="193" t="s">
        <v>755</v>
      </c>
      <c r="E591" s="200"/>
      <c r="F591" s="200">
        <v>163631</v>
      </c>
      <c r="G591" s="177"/>
      <c r="H591" s="177"/>
      <c r="I591" s="177">
        <f>113+táj2!I591</f>
        <v>113</v>
      </c>
      <c r="J591" s="177"/>
      <c r="K591" s="177"/>
      <c r="L591" s="177">
        <f>21847+táj2!L591</f>
        <v>10092</v>
      </c>
      <c r="M591" s="177"/>
      <c r="N591" s="177"/>
      <c r="O591" s="177"/>
      <c r="P591" s="177"/>
      <c r="Q591" s="151">
        <f t="shared" si="47"/>
        <v>10205</v>
      </c>
    </row>
    <row r="592" spans="1:17" ht="30.75" customHeight="1" x14ac:dyDescent="0.25">
      <c r="A592" s="172"/>
      <c r="B592" s="172"/>
      <c r="C592" s="188" t="s">
        <v>998</v>
      </c>
      <c r="D592" s="193" t="s">
        <v>940</v>
      </c>
      <c r="E592" s="200"/>
      <c r="F592" s="200">
        <v>163647</v>
      </c>
      <c r="G592" s="177"/>
      <c r="H592" s="177"/>
      <c r="I592" s="177"/>
      <c r="J592" s="177"/>
      <c r="K592" s="177"/>
      <c r="L592" s="177">
        <f>7233+táj2!L592</f>
        <v>7233</v>
      </c>
      <c r="M592" s="177"/>
      <c r="N592" s="177"/>
      <c r="O592" s="177"/>
      <c r="P592" s="177"/>
      <c r="Q592" s="151">
        <f>SUM(G592:P592)</f>
        <v>7233</v>
      </c>
    </row>
    <row r="593" spans="1:17" ht="21" customHeight="1" x14ac:dyDescent="0.25">
      <c r="A593" s="172"/>
      <c r="B593" s="172"/>
      <c r="C593" s="188" t="s">
        <v>999</v>
      </c>
      <c r="D593" s="416" t="s">
        <v>941</v>
      </c>
      <c r="E593" s="247"/>
      <c r="F593" s="200">
        <v>162695</v>
      </c>
      <c r="G593" s="177"/>
      <c r="H593" s="177"/>
      <c r="I593" s="177"/>
      <c r="J593" s="177"/>
      <c r="K593" s="177">
        <f>1600+táj2!K593</f>
        <v>1600</v>
      </c>
      <c r="L593" s="177"/>
      <c r="M593" s="177"/>
      <c r="N593" s="177"/>
      <c r="O593" s="177"/>
      <c r="P593" s="177"/>
      <c r="Q593" s="151">
        <f t="shared" si="47"/>
        <v>1600</v>
      </c>
    </row>
    <row r="594" spans="1:17" ht="14.1" customHeight="1" x14ac:dyDescent="0.25">
      <c r="A594" s="417"/>
      <c r="B594" s="417"/>
      <c r="C594" s="418"/>
      <c r="D594" s="419" t="s">
        <v>756</v>
      </c>
      <c r="E594" s="420"/>
      <c r="F594" s="421"/>
      <c r="G594" s="422">
        <f t="shared" ref="G594:Q594" si="48">SUM(G470:G593)</f>
        <v>34044</v>
      </c>
      <c r="H594" s="422">
        <f t="shared" si="48"/>
        <v>6879</v>
      </c>
      <c r="I594" s="422">
        <f t="shared" si="48"/>
        <v>5282800</v>
      </c>
      <c r="J594" s="422">
        <f t="shared" si="48"/>
        <v>0</v>
      </c>
      <c r="K594" s="422">
        <f t="shared" si="48"/>
        <v>3650</v>
      </c>
      <c r="L594" s="422">
        <f t="shared" si="48"/>
        <v>23161908</v>
      </c>
      <c r="M594" s="422">
        <f t="shared" si="48"/>
        <v>6956586</v>
      </c>
      <c r="N594" s="422">
        <f t="shared" si="48"/>
        <v>8435</v>
      </c>
      <c r="O594" s="422">
        <f t="shared" si="48"/>
        <v>0</v>
      </c>
      <c r="P594" s="422">
        <f t="shared" si="48"/>
        <v>0</v>
      </c>
      <c r="Q594" s="422">
        <f t="shared" si="48"/>
        <v>35454302</v>
      </c>
    </row>
    <row r="595" spans="1:17" ht="15" customHeight="1" x14ac:dyDescent="0.25">
      <c r="A595" s="172">
        <v>1</v>
      </c>
      <c r="B595" s="172">
        <v>17</v>
      </c>
      <c r="C595" s="188"/>
      <c r="D595" s="221" t="s">
        <v>757</v>
      </c>
      <c r="E595" s="200"/>
      <c r="F595" s="151"/>
      <c r="G595" s="151"/>
      <c r="H595" s="177"/>
      <c r="I595" s="177"/>
      <c r="J595" s="177"/>
      <c r="K595" s="177"/>
      <c r="L595" s="177"/>
      <c r="M595" s="151"/>
      <c r="N595" s="151"/>
      <c r="O595" s="151"/>
      <c r="P595" s="151"/>
      <c r="Q595" s="151"/>
    </row>
    <row r="596" spans="1:17" ht="15" customHeight="1" x14ac:dyDescent="0.25">
      <c r="A596" s="172"/>
      <c r="B596" s="172"/>
      <c r="C596" s="188"/>
      <c r="D596" s="189" t="s">
        <v>225</v>
      </c>
      <c r="E596" s="204"/>
      <c r="F596" s="183"/>
      <c r="G596" s="151"/>
      <c r="H596" s="177"/>
      <c r="I596" s="177"/>
      <c r="J596" s="177"/>
      <c r="K596" s="177"/>
      <c r="L596" s="177"/>
      <c r="M596" s="151"/>
      <c r="N596" s="151"/>
      <c r="O596" s="151"/>
      <c r="P596" s="151"/>
      <c r="Q596" s="151"/>
    </row>
    <row r="597" spans="1:17" ht="15" customHeight="1" x14ac:dyDescent="0.25">
      <c r="A597" s="172"/>
      <c r="B597" s="172"/>
      <c r="C597" s="188"/>
      <c r="D597" s="186" t="s">
        <v>758</v>
      </c>
      <c r="E597" s="151">
        <v>1</v>
      </c>
      <c r="F597" s="151">
        <v>171905</v>
      </c>
      <c r="G597" s="151"/>
      <c r="H597" s="151"/>
      <c r="I597" s="151">
        <f>11326+táj2!I597</f>
        <v>11326</v>
      </c>
      <c r="J597" s="151"/>
      <c r="K597" s="151"/>
      <c r="L597" s="151"/>
      <c r="M597" s="151"/>
      <c r="N597" s="151"/>
      <c r="O597" s="151"/>
      <c r="P597" s="151"/>
      <c r="Q597" s="151">
        <f t="shared" ref="Q597:Q606" si="49">SUM(G597:P597)</f>
        <v>11326</v>
      </c>
    </row>
    <row r="598" spans="1:17" ht="15" customHeight="1" x14ac:dyDescent="0.25">
      <c r="A598" s="172"/>
      <c r="B598" s="172"/>
      <c r="C598" s="188"/>
      <c r="D598" s="186" t="s">
        <v>759</v>
      </c>
      <c r="E598" s="151">
        <v>1</v>
      </c>
      <c r="F598" s="151">
        <v>171903</v>
      </c>
      <c r="G598" s="151"/>
      <c r="H598" s="151"/>
      <c r="I598" s="151">
        <f>500+táj2!I598</f>
        <v>500</v>
      </c>
      <c r="J598" s="151"/>
      <c r="K598" s="151"/>
      <c r="L598" s="151"/>
      <c r="M598" s="151"/>
      <c r="N598" s="151"/>
      <c r="O598" s="151"/>
      <c r="P598" s="151"/>
      <c r="Q598" s="151">
        <f t="shared" si="49"/>
        <v>500</v>
      </c>
    </row>
    <row r="599" spans="1:17" ht="15" customHeight="1" x14ac:dyDescent="0.25">
      <c r="A599" s="172"/>
      <c r="B599" s="172"/>
      <c r="C599" s="188"/>
      <c r="D599" s="186" t="s">
        <v>760</v>
      </c>
      <c r="E599" s="183">
        <v>1</v>
      </c>
      <c r="F599" s="151">
        <v>171920</v>
      </c>
      <c r="G599" s="151"/>
      <c r="H599" s="151"/>
      <c r="I599" s="151">
        <f>5199+táj2!I599</f>
        <v>5199</v>
      </c>
      <c r="J599" s="151"/>
      <c r="K599" s="151"/>
      <c r="L599" s="151"/>
      <c r="M599" s="151"/>
      <c r="N599" s="151"/>
      <c r="O599" s="151"/>
      <c r="P599" s="151"/>
      <c r="Q599" s="151">
        <f t="shared" si="49"/>
        <v>5199</v>
      </c>
    </row>
    <row r="600" spans="1:17" ht="15" customHeight="1" x14ac:dyDescent="0.25">
      <c r="A600" s="172"/>
      <c r="B600" s="172"/>
      <c r="C600" s="188"/>
      <c r="D600" s="193" t="s">
        <v>761</v>
      </c>
      <c r="E600" s="183">
        <v>1</v>
      </c>
      <c r="F600" s="151">
        <v>171956</v>
      </c>
      <c r="G600" s="151"/>
      <c r="H600" s="151"/>
      <c r="I600" s="151">
        <f>2292+táj2!I600</f>
        <v>2292</v>
      </c>
      <c r="J600" s="151"/>
      <c r="K600" s="151"/>
      <c r="L600" s="151"/>
      <c r="M600" s="151"/>
      <c r="N600" s="151"/>
      <c r="O600" s="151"/>
      <c r="P600" s="151"/>
      <c r="Q600" s="151">
        <f t="shared" si="49"/>
        <v>2292</v>
      </c>
    </row>
    <row r="601" spans="1:17" ht="15" customHeight="1" x14ac:dyDescent="0.25">
      <c r="A601" s="172"/>
      <c r="B601" s="172"/>
      <c r="C601" s="188"/>
      <c r="D601" s="193" t="s">
        <v>762</v>
      </c>
      <c r="E601" s="183">
        <v>1</v>
      </c>
      <c r="F601" s="151">
        <v>171958</v>
      </c>
      <c r="G601" s="151"/>
      <c r="H601" s="151"/>
      <c r="I601" s="151">
        <f>500+táj2!I601</f>
        <v>500</v>
      </c>
      <c r="J601" s="151"/>
      <c r="K601" s="151"/>
      <c r="L601" s="151"/>
      <c r="M601" s="151"/>
      <c r="N601" s="151"/>
      <c r="O601" s="151"/>
      <c r="P601" s="151"/>
      <c r="Q601" s="151">
        <f t="shared" si="49"/>
        <v>500</v>
      </c>
    </row>
    <row r="602" spans="1:17" ht="15" customHeight="1" x14ac:dyDescent="0.25">
      <c r="A602" s="172"/>
      <c r="B602" s="172"/>
      <c r="C602" s="188"/>
      <c r="D602" s="193" t="s">
        <v>763</v>
      </c>
      <c r="E602" s="183">
        <v>1</v>
      </c>
      <c r="F602" s="151">
        <v>171904</v>
      </c>
      <c r="G602" s="151"/>
      <c r="H602" s="151"/>
      <c r="I602" s="151">
        <f>2000+táj2!I602</f>
        <v>2000</v>
      </c>
      <c r="J602" s="151"/>
      <c r="K602" s="151"/>
      <c r="L602" s="151"/>
      <c r="M602" s="151"/>
      <c r="N602" s="151"/>
      <c r="O602" s="151"/>
      <c r="P602" s="151"/>
      <c r="Q602" s="151">
        <f t="shared" si="49"/>
        <v>2000</v>
      </c>
    </row>
    <row r="603" spans="1:17" ht="15" customHeight="1" x14ac:dyDescent="0.25">
      <c r="A603" s="172"/>
      <c r="B603" s="172"/>
      <c r="C603" s="188"/>
      <c r="D603" s="186" t="s">
        <v>764</v>
      </c>
      <c r="E603" s="151">
        <v>1</v>
      </c>
      <c r="F603" s="151">
        <v>171902</v>
      </c>
      <c r="G603" s="151"/>
      <c r="H603" s="151"/>
      <c r="I603" s="151">
        <f>16568+táj2!I603</f>
        <v>16568</v>
      </c>
      <c r="J603" s="151"/>
      <c r="K603" s="151"/>
      <c r="L603" s="151"/>
      <c r="M603" s="151"/>
      <c r="N603" s="151"/>
      <c r="O603" s="151"/>
      <c r="P603" s="151"/>
      <c r="Q603" s="151">
        <f t="shared" si="49"/>
        <v>16568</v>
      </c>
    </row>
    <row r="604" spans="1:17" ht="15" customHeight="1" x14ac:dyDescent="0.25">
      <c r="A604" s="172"/>
      <c r="B604" s="172"/>
      <c r="C604" s="188"/>
      <c r="D604" s="186" t="s">
        <v>765</v>
      </c>
      <c r="E604" s="151">
        <v>1</v>
      </c>
      <c r="F604" s="151">
        <v>171925</v>
      </c>
      <c r="G604" s="151"/>
      <c r="H604" s="151"/>
      <c r="I604" s="151">
        <f>13200+táj2!I604</f>
        <v>13200</v>
      </c>
      <c r="J604" s="151"/>
      <c r="K604" s="151"/>
      <c r="L604" s="151"/>
      <c r="M604" s="151"/>
      <c r="N604" s="151"/>
      <c r="O604" s="151"/>
      <c r="P604" s="151"/>
      <c r="Q604" s="151">
        <f t="shared" si="49"/>
        <v>13200</v>
      </c>
    </row>
    <row r="605" spans="1:17" ht="24.75" customHeight="1" x14ac:dyDescent="0.25">
      <c r="A605" s="172"/>
      <c r="B605" s="172"/>
      <c r="C605" s="188"/>
      <c r="D605" s="423" t="s">
        <v>942</v>
      </c>
      <c r="E605" s="424">
        <v>1</v>
      </c>
      <c r="F605" s="151">
        <v>171911</v>
      </c>
      <c r="G605" s="151"/>
      <c r="H605" s="151"/>
      <c r="I605" s="151">
        <f>25900+táj2!I605</f>
        <v>25900</v>
      </c>
      <c r="J605" s="151"/>
      <c r="K605" s="151"/>
      <c r="L605" s="151"/>
      <c r="M605" s="151"/>
      <c r="N605" s="151"/>
      <c r="O605" s="151"/>
      <c r="P605" s="151"/>
      <c r="Q605" s="151">
        <f t="shared" si="49"/>
        <v>25900</v>
      </c>
    </row>
    <row r="606" spans="1:17" ht="16.2" customHeight="1" x14ac:dyDescent="0.25">
      <c r="A606" s="765"/>
      <c r="B606" s="765"/>
      <c r="C606" s="758"/>
      <c r="D606" s="825" t="s">
        <v>1322</v>
      </c>
      <c r="E606" s="826">
        <v>1</v>
      </c>
      <c r="F606" s="764">
        <v>172920</v>
      </c>
      <c r="G606" s="764"/>
      <c r="H606" s="764"/>
      <c r="I606" s="151">
        <f>0+táj2!I606</f>
        <v>5933</v>
      </c>
      <c r="J606" s="764"/>
      <c r="K606" s="764"/>
      <c r="L606" s="764"/>
      <c r="M606" s="764"/>
      <c r="N606" s="764"/>
      <c r="O606" s="764"/>
      <c r="P606" s="764"/>
      <c r="Q606" s="151">
        <f t="shared" si="49"/>
        <v>5933</v>
      </c>
    </row>
    <row r="607" spans="1:17" ht="15" customHeight="1" x14ac:dyDescent="0.25">
      <c r="A607" s="172"/>
      <c r="B607" s="172"/>
      <c r="C607" s="172"/>
      <c r="D607" s="151" t="s">
        <v>766</v>
      </c>
      <c r="E607" s="200"/>
      <c r="F607" s="151"/>
      <c r="G607" s="151"/>
      <c r="H607" s="177"/>
      <c r="I607" s="151"/>
      <c r="J607" s="177"/>
      <c r="K607" s="177"/>
      <c r="L607" s="177"/>
      <c r="M607" s="151"/>
      <c r="N607" s="151"/>
      <c r="O607" s="151"/>
      <c r="P607" s="151"/>
      <c r="Q607" s="151"/>
    </row>
    <row r="608" spans="1:17" ht="15" customHeight="1" x14ac:dyDescent="0.25">
      <c r="A608" s="172"/>
      <c r="B608" s="172"/>
      <c r="C608" s="172"/>
      <c r="D608" s="268" t="s">
        <v>767</v>
      </c>
      <c r="E608" s="200">
        <v>1</v>
      </c>
      <c r="F608" s="151">
        <v>171954</v>
      </c>
      <c r="G608" s="151"/>
      <c r="H608" s="151"/>
      <c r="I608" s="151">
        <f>375+táj2!I608</f>
        <v>375</v>
      </c>
      <c r="J608" s="151"/>
      <c r="K608" s="151"/>
      <c r="L608" s="151"/>
      <c r="M608" s="151"/>
      <c r="N608" s="151"/>
      <c r="O608" s="151"/>
      <c r="P608" s="151"/>
      <c r="Q608" s="151">
        <f>SUM(G608:P608)</f>
        <v>375</v>
      </c>
    </row>
    <row r="609" spans="1:17" ht="15" customHeight="1" x14ac:dyDescent="0.25">
      <c r="A609" s="194"/>
      <c r="B609" s="194"/>
      <c r="C609" s="425"/>
      <c r="D609" s="196" t="s">
        <v>768</v>
      </c>
      <c r="E609" s="197"/>
      <c r="F609" s="198"/>
      <c r="G609" s="198">
        <f t="shared" ref="G609:Q609" si="50">SUM(G596:G608)</f>
        <v>0</v>
      </c>
      <c r="H609" s="198">
        <f t="shared" si="50"/>
        <v>0</v>
      </c>
      <c r="I609" s="198">
        <f t="shared" si="50"/>
        <v>83793</v>
      </c>
      <c r="J609" s="198">
        <f t="shared" si="50"/>
        <v>0</v>
      </c>
      <c r="K609" s="198">
        <f t="shared" si="50"/>
        <v>0</v>
      </c>
      <c r="L609" s="198">
        <f t="shared" si="50"/>
        <v>0</v>
      </c>
      <c r="M609" s="198">
        <f t="shared" si="50"/>
        <v>0</v>
      </c>
      <c r="N609" s="198">
        <f t="shared" si="50"/>
        <v>0</v>
      </c>
      <c r="O609" s="198">
        <f t="shared" si="50"/>
        <v>0</v>
      </c>
      <c r="P609" s="198">
        <f t="shared" si="50"/>
        <v>0</v>
      </c>
      <c r="Q609" s="198">
        <f t="shared" si="50"/>
        <v>83793</v>
      </c>
    </row>
    <row r="610" spans="1:17" ht="14.1" customHeight="1" x14ac:dyDescent="0.25">
      <c r="A610" s="199"/>
      <c r="B610" s="199"/>
      <c r="C610" s="217"/>
      <c r="D610" s="218" t="s">
        <v>769</v>
      </c>
      <c r="E610" s="201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02"/>
    </row>
    <row r="611" spans="1:17" ht="27" customHeight="1" x14ac:dyDescent="0.25">
      <c r="A611" s="199"/>
      <c r="B611" s="199"/>
      <c r="C611" s="188" t="s">
        <v>92</v>
      </c>
      <c r="D611" s="426" t="s">
        <v>770</v>
      </c>
      <c r="E611" s="240"/>
      <c r="F611" s="241">
        <v>171980</v>
      </c>
      <c r="G611" s="151"/>
      <c r="H611" s="151"/>
      <c r="I611" s="151"/>
      <c r="J611" s="151"/>
      <c r="K611" s="151"/>
      <c r="L611" s="151"/>
      <c r="M611" s="151"/>
      <c r="N611" s="151">
        <f>38000+táj2!N611</f>
        <v>38000</v>
      </c>
      <c r="O611" s="151"/>
      <c r="P611" s="151"/>
      <c r="Q611" s="151">
        <f>SUM(G611:P611)</f>
        <v>38000</v>
      </c>
    </row>
    <row r="612" spans="1:17" ht="15.6" customHeight="1" x14ac:dyDescent="0.25">
      <c r="A612" s="576"/>
      <c r="B612" s="576"/>
      <c r="C612" s="188" t="s">
        <v>91</v>
      </c>
      <c r="D612" s="636" t="s">
        <v>1182</v>
      </c>
      <c r="E612" s="589"/>
      <c r="F612" s="655">
        <v>172927</v>
      </c>
      <c r="G612" s="510"/>
      <c r="H612" s="510"/>
      <c r="I612" s="510"/>
      <c r="J612" s="510"/>
      <c r="K612" s="510"/>
      <c r="L612" s="151">
        <f>14000+táj2!L612</f>
        <v>13000</v>
      </c>
      <c r="M612" s="151"/>
      <c r="N612" s="151"/>
      <c r="O612" s="510"/>
      <c r="P612" s="510"/>
      <c r="Q612" s="151">
        <f>SUM(G612:P612)</f>
        <v>13000</v>
      </c>
    </row>
    <row r="613" spans="1:17" ht="15.9" customHeight="1" x14ac:dyDescent="0.25">
      <c r="A613" s="199"/>
      <c r="B613" s="199"/>
      <c r="C613" s="188"/>
      <c r="D613" s="186" t="s">
        <v>1026</v>
      </c>
      <c r="E613" s="240"/>
      <c r="F613" s="241"/>
      <c r="G613" s="151"/>
      <c r="H613" s="202"/>
      <c r="I613" s="202"/>
      <c r="J613" s="202"/>
      <c r="K613" s="202"/>
      <c r="L613" s="151"/>
      <c r="M613" s="151"/>
      <c r="N613" s="151"/>
      <c r="O613" s="151"/>
      <c r="P613" s="151"/>
      <c r="Q613" s="151"/>
    </row>
    <row r="614" spans="1:17" ht="16.5" customHeight="1" x14ac:dyDescent="0.25">
      <c r="A614" s="199"/>
      <c r="B614" s="199"/>
      <c r="C614" s="188" t="s">
        <v>355</v>
      </c>
      <c r="D614" s="617" t="s">
        <v>771</v>
      </c>
      <c r="E614" s="427"/>
      <c r="F614" s="151">
        <v>162603</v>
      </c>
      <c r="G614" s="151"/>
      <c r="H614" s="151"/>
      <c r="I614" s="151"/>
      <c r="J614" s="151"/>
      <c r="K614" s="151"/>
      <c r="L614" s="151">
        <f>16336+táj2!L614</f>
        <v>16336</v>
      </c>
      <c r="M614" s="151"/>
      <c r="N614" s="151"/>
      <c r="O614" s="151"/>
      <c r="P614" s="151"/>
      <c r="Q614" s="151">
        <f>SUM(G614:P614)</f>
        <v>16336</v>
      </c>
    </row>
    <row r="615" spans="1:17" ht="18" customHeight="1" x14ac:dyDescent="0.25">
      <c r="A615" s="199"/>
      <c r="B615" s="199"/>
      <c r="C615" s="188" t="s">
        <v>357</v>
      </c>
      <c r="D615" s="205" t="s">
        <v>772</v>
      </c>
      <c r="E615" s="242"/>
      <c r="F615" s="200">
        <v>172923</v>
      </c>
      <c r="G615" s="151"/>
      <c r="H615" s="151"/>
      <c r="I615" s="151"/>
      <c r="J615" s="151"/>
      <c r="K615" s="151"/>
      <c r="L615" s="151">
        <f>1707+táj2!L615</f>
        <v>1707</v>
      </c>
      <c r="M615" s="151"/>
      <c r="N615" s="151"/>
      <c r="O615" s="151"/>
      <c r="P615" s="151"/>
      <c r="Q615" s="151">
        <f>SUM(G615:P615)</f>
        <v>1707</v>
      </c>
    </row>
    <row r="616" spans="1:17" ht="15.9" customHeight="1" x14ac:dyDescent="0.25">
      <c r="A616" s="194"/>
      <c r="B616" s="194"/>
      <c r="C616" s="195"/>
      <c r="D616" s="196" t="s">
        <v>294</v>
      </c>
      <c r="E616" s="197"/>
      <c r="F616" s="198"/>
      <c r="G616" s="198">
        <f t="shared" ref="G616:Q616" si="51">SUM(G609:G615)</f>
        <v>0</v>
      </c>
      <c r="H616" s="198">
        <f t="shared" si="51"/>
        <v>0</v>
      </c>
      <c r="I616" s="198">
        <f t="shared" si="51"/>
        <v>83793</v>
      </c>
      <c r="J616" s="198">
        <f t="shared" si="51"/>
        <v>0</v>
      </c>
      <c r="K616" s="198">
        <f t="shared" si="51"/>
        <v>0</v>
      </c>
      <c r="L616" s="198">
        <f t="shared" si="51"/>
        <v>31043</v>
      </c>
      <c r="M616" s="198">
        <f t="shared" si="51"/>
        <v>0</v>
      </c>
      <c r="N616" s="198">
        <f t="shared" si="51"/>
        <v>38000</v>
      </c>
      <c r="O616" s="198">
        <f t="shared" si="51"/>
        <v>0</v>
      </c>
      <c r="P616" s="198">
        <f t="shared" si="51"/>
        <v>0</v>
      </c>
      <c r="Q616" s="198">
        <f t="shared" si="51"/>
        <v>152836</v>
      </c>
    </row>
    <row r="617" spans="1:17" ht="15" customHeight="1" x14ac:dyDescent="0.25">
      <c r="A617" s="172">
        <v>1</v>
      </c>
      <c r="B617" s="172">
        <v>18</v>
      </c>
      <c r="C617" s="188"/>
      <c r="D617" s="221" t="s">
        <v>773</v>
      </c>
      <c r="E617" s="201"/>
      <c r="F617" s="201"/>
      <c r="G617" s="151"/>
      <c r="H617" s="177"/>
      <c r="I617" s="177"/>
      <c r="J617" s="177"/>
      <c r="K617" s="177"/>
      <c r="L617" s="177"/>
      <c r="M617" s="151"/>
      <c r="N617" s="151"/>
      <c r="O617" s="151"/>
      <c r="P617" s="151"/>
      <c r="Q617" s="151"/>
    </row>
    <row r="618" spans="1:17" ht="15.75" customHeight="1" x14ac:dyDescent="0.25">
      <c r="A618" s="172"/>
      <c r="B618" s="172"/>
      <c r="C618" s="188"/>
      <c r="D618" s="186" t="s">
        <v>225</v>
      </c>
      <c r="E618" s="204"/>
      <c r="F618" s="204"/>
      <c r="G618" s="151"/>
      <c r="H618" s="177"/>
      <c r="I618" s="177"/>
      <c r="J618" s="177"/>
      <c r="K618" s="177"/>
      <c r="L618" s="177"/>
      <c r="M618" s="151"/>
      <c r="N618" s="151"/>
      <c r="O618" s="151"/>
      <c r="P618" s="151"/>
      <c r="Q618" s="151"/>
    </row>
    <row r="619" spans="1:17" ht="17.25" customHeight="1" x14ac:dyDescent="0.25">
      <c r="A619" s="172"/>
      <c r="B619" s="172"/>
      <c r="C619" s="188"/>
      <c r="D619" s="186" t="s">
        <v>774</v>
      </c>
      <c r="E619" s="151">
        <v>2</v>
      </c>
      <c r="F619" s="151">
        <v>181905</v>
      </c>
      <c r="G619" s="151"/>
      <c r="H619" s="151"/>
      <c r="I619" s="151">
        <f>19617+táj2!I619</f>
        <v>19617</v>
      </c>
      <c r="J619" s="151"/>
      <c r="K619" s="151"/>
      <c r="L619" s="151"/>
      <c r="M619" s="151"/>
      <c r="N619" s="151"/>
      <c r="O619" s="151"/>
      <c r="P619" s="151"/>
      <c r="Q619" s="151">
        <f>SUM(G619:P619)</f>
        <v>19617</v>
      </c>
    </row>
    <row r="620" spans="1:17" ht="27.75" customHeight="1" x14ac:dyDescent="0.25">
      <c r="A620" s="172"/>
      <c r="B620" s="172"/>
      <c r="C620" s="188"/>
      <c r="D620" s="193" t="s">
        <v>775</v>
      </c>
      <c r="E620" s="151">
        <v>1</v>
      </c>
      <c r="F620" s="151" t="s">
        <v>297</v>
      </c>
      <c r="G620" s="151"/>
      <c r="H620" s="151"/>
      <c r="I620" s="151">
        <f>49505+táj2!I620</f>
        <v>39980</v>
      </c>
      <c r="J620" s="151"/>
      <c r="K620" s="151"/>
      <c r="L620" s="151"/>
      <c r="M620" s="151">
        <f>0+táj2!M620</f>
        <v>9525</v>
      </c>
      <c r="N620" s="151"/>
      <c r="O620" s="151"/>
      <c r="P620" s="151"/>
      <c r="Q620" s="151">
        <f>SUM(G620:P620)</f>
        <v>49505</v>
      </c>
    </row>
    <row r="621" spans="1:17" ht="14.1" customHeight="1" x14ac:dyDescent="0.25">
      <c r="A621" s="172"/>
      <c r="B621" s="172"/>
      <c r="C621" s="188"/>
      <c r="D621" s="186" t="s">
        <v>776</v>
      </c>
      <c r="E621" s="151">
        <v>1</v>
      </c>
      <c r="F621" s="151">
        <v>181906</v>
      </c>
      <c r="G621" s="151"/>
      <c r="H621" s="151"/>
      <c r="I621" s="151">
        <f>2000+táj2!I621</f>
        <v>2000</v>
      </c>
      <c r="J621" s="151"/>
      <c r="K621" s="151"/>
      <c r="L621" s="151">
        <f>1000+táj2!L621</f>
        <v>1000</v>
      </c>
      <c r="M621" s="151"/>
      <c r="N621" s="151"/>
      <c r="O621" s="151"/>
      <c r="P621" s="151"/>
      <c r="Q621" s="151">
        <f>SUM(G621:P621)</f>
        <v>3000</v>
      </c>
    </row>
    <row r="622" spans="1:17" ht="14.1" customHeight="1" x14ac:dyDescent="0.25">
      <c r="A622" s="172"/>
      <c r="B622" s="172"/>
      <c r="C622" s="188"/>
      <c r="D622" s="186" t="s">
        <v>1083</v>
      </c>
      <c r="E622" s="151">
        <v>1</v>
      </c>
      <c r="F622" s="151">
        <v>181915</v>
      </c>
      <c r="G622" s="151"/>
      <c r="H622" s="151"/>
      <c r="I622" s="151">
        <f>3000+táj2!I622</f>
        <v>3000</v>
      </c>
      <c r="J622" s="151"/>
      <c r="K622" s="151"/>
      <c r="L622" s="151"/>
      <c r="M622" s="151"/>
      <c r="N622" s="151"/>
      <c r="O622" s="151"/>
      <c r="P622" s="151"/>
      <c r="Q622" s="151">
        <f>SUM(G622:P622)</f>
        <v>3000</v>
      </c>
    </row>
    <row r="623" spans="1:17" ht="15" customHeight="1" x14ac:dyDescent="0.25">
      <c r="A623" s="172"/>
      <c r="B623" s="172"/>
      <c r="C623" s="188"/>
      <c r="D623" s="189" t="s">
        <v>216</v>
      </c>
      <c r="E623" s="208"/>
      <c r="F623" s="208"/>
      <c r="G623" s="151"/>
      <c r="H623" s="151"/>
      <c r="I623" s="151"/>
      <c r="J623" s="151"/>
      <c r="K623" s="151"/>
      <c r="L623" s="151"/>
      <c r="M623" s="151"/>
      <c r="N623" s="151"/>
      <c r="O623" s="151"/>
      <c r="P623" s="151"/>
      <c r="Q623" s="151"/>
    </row>
    <row r="624" spans="1:17" ht="15" customHeight="1" x14ac:dyDescent="0.25">
      <c r="A624" s="172"/>
      <c r="B624" s="172"/>
      <c r="C624" s="188"/>
      <c r="D624" s="186" t="s">
        <v>777</v>
      </c>
      <c r="E624" s="192">
        <v>1</v>
      </c>
      <c r="F624" s="151">
        <v>221950</v>
      </c>
      <c r="G624" s="151">
        <f>176407+táj2!G624</f>
        <v>176407</v>
      </c>
      <c r="H624" s="151">
        <f>23863+táj2!H624</f>
        <v>23863</v>
      </c>
      <c r="I624" s="151">
        <f>1312+táj2!I624</f>
        <v>1312</v>
      </c>
      <c r="J624" s="151"/>
      <c r="K624" s="151"/>
      <c r="L624" s="151"/>
      <c r="M624" s="151"/>
      <c r="N624" s="151"/>
      <c r="O624" s="151"/>
      <c r="P624" s="151"/>
      <c r="Q624" s="243">
        <f>SUM(G624:P624)</f>
        <v>201582</v>
      </c>
    </row>
    <row r="625" spans="1:17" ht="15" customHeight="1" x14ac:dyDescent="0.25">
      <c r="A625" s="172"/>
      <c r="B625" s="172"/>
      <c r="C625" s="188"/>
      <c r="D625" s="193" t="s">
        <v>778</v>
      </c>
      <c r="E625" s="183">
        <v>1</v>
      </c>
      <c r="F625" s="151">
        <v>181907</v>
      </c>
      <c r="G625" s="151"/>
      <c r="H625" s="151"/>
      <c r="I625" s="151">
        <f>15518+táj2!I625</f>
        <v>15518</v>
      </c>
      <c r="J625" s="151"/>
      <c r="K625" s="151"/>
      <c r="L625" s="151"/>
      <c r="M625" s="151"/>
      <c r="N625" s="151"/>
      <c r="O625" s="151"/>
      <c r="P625" s="151"/>
      <c r="Q625" s="151">
        <f>SUM(G625:P625)</f>
        <v>15518</v>
      </c>
    </row>
    <row r="626" spans="1:17" ht="15.75" customHeight="1" x14ac:dyDescent="0.25">
      <c r="A626" s="172"/>
      <c r="B626" s="172"/>
      <c r="C626" s="188"/>
      <c r="D626" s="186" t="s">
        <v>779</v>
      </c>
      <c r="E626" s="183"/>
      <c r="F626" s="183"/>
      <c r="G626" s="151"/>
      <c r="H626" s="151"/>
      <c r="I626" s="151"/>
      <c r="J626" s="151"/>
      <c r="K626" s="151"/>
      <c r="L626" s="151"/>
      <c r="M626" s="151"/>
      <c r="N626" s="151"/>
      <c r="O626" s="151"/>
      <c r="P626" s="151"/>
      <c r="Q626" s="151"/>
    </row>
    <row r="627" spans="1:17" ht="12.75" customHeight="1" x14ac:dyDescent="0.25">
      <c r="A627" s="172"/>
      <c r="B627" s="172"/>
      <c r="C627" s="188"/>
      <c r="D627" s="193" t="s">
        <v>780</v>
      </c>
      <c r="E627" s="183">
        <v>1</v>
      </c>
      <c r="F627" s="151">
        <v>181909</v>
      </c>
      <c r="G627" s="151"/>
      <c r="H627" s="151"/>
      <c r="I627" s="151">
        <f>2500+táj2!I627</f>
        <v>2500</v>
      </c>
      <c r="J627" s="151"/>
      <c r="K627" s="151">
        <f>2000+táj2!K627</f>
        <v>2000</v>
      </c>
      <c r="L627" s="151"/>
      <c r="M627" s="151"/>
      <c r="N627" s="151"/>
      <c r="O627" s="151"/>
      <c r="P627" s="151"/>
      <c r="Q627" s="151">
        <f>SUM(G627:P627)</f>
        <v>4500</v>
      </c>
    </row>
    <row r="628" spans="1:17" ht="26.25" customHeight="1" x14ac:dyDescent="0.25">
      <c r="A628" s="172"/>
      <c r="B628" s="172"/>
      <c r="C628" s="188"/>
      <c r="D628" s="193" t="s">
        <v>781</v>
      </c>
      <c r="E628" s="208">
        <v>2</v>
      </c>
      <c r="F628" s="210">
        <v>191142</v>
      </c>
      <c r="G628" s="151"/>
      <c r="H628" s="151"/>
      <c r="I628" s="151"/>
      <c r="J628" s="151"/>
      <c r="K628" s="151">
        <f>1000+táj2!K628</f>
        <v>1000</v>
      </c>
      <c r="L628" s="151"/>
      <c r="M628" s="151"/>
      <c r="N628" s="151"/>
      <c r="O628" s="151"/>
      <c r="P628" s="151"/>
      <c r="Q628" s="151">
        <f>SUM(G628:P628)</f>
        <v>1000</v>
      </c>
    </row>
    <row r="629" spans="1:17" ht="17.399999999999999" customHeight="1" x14ac:dyDescent="0.25">
      <c r="A629" s="172"/>
      <c r="B629" s="172"/>
      <c r="C629" s="188"/>
      <c r="D629" s="193" t="s">
        <v>782</v>
      </c>
      <c r="E629" s="208">
        <v>2</v>
      </c>
      <c r="F629" s="210">
        <v>191154</v>
      </c>
      <c r="G629" s="151"/>
      <c r="H629" s="151"/>
      <c r="I629" s="151"/>
      <c r="J629" s="151"/>
      <c r="K629" s="151">
        <f>3500+táj2!K629</f>
        <v>3500</v>
      </c>
      <c r="L629" s="151"/>
      <c r="M629" s="151"/>
      <c r="N629" s="151"/>
      <c r="O629" s="151"/>
      <c r="P629" s="151"/>
      <c r="Q629" s="151">
        <f>SUM(G629:P629)</f>
        <v>3500</v>
      </c>
    </row>
    <row r="630" spans="1:17" ht="15" customHeight="1" x14ac:dyDescent="0.25">
      <c r="A630" s="172"/>
      <c r="B630" s="172"/>
      <c r="C630" s="188"/>
      <c r="D630" s="193" t="s">
        <v>783</v>
      </c>
      <c r="E630" s="183"/>
      <c r="F630" s="183"/>
      <c r="G630" s="151"/>
      <c r="H630" s="151"/>
      <c r="I630" s="151"/>
      <c r="J630" s="151"/>
      <c r="K630" s="151"/>
      <c r="L630" s="151"/>
      <c r="M630" s="151"/>
      <c r="N630" s="151"/>
      <c r="O630" s="151"/>
      <c r="P630" s="151"/>
      <c r="Q630" s="151"/>
    </row>
    <row r="631" spans="1:17" ht="15" customHeight="1" x14ac:dyDescent="0.25">
      <c r="A631" s="172"/>
      <c r="B631" s="172"/>
      <c r="C631" s="188"/>
      <c r="D631" s="193" t="s">
        <v>784</v>
      </c>
      <c r="E631" s="183">
        <v>1</v>
      </c>
      <c r="F631" s="151">
        <v>181902</v>
      </c>
      <c r="G631" s="151"/>
      <c r="H631" s="151"/>
      <c r="I631" s="151">
        <f>300+táj2!I631</f>
        <v>300</v>
      </c>
      <c r="J631" s="151"/>
      <c r="K631" s="151"/>
      <c r="L631" s="151"/>
      <c r="M631" s="151"/>
      <c r="N631" s="151"/>
      <c r="O631" s="151"/>
      <c r="P631" s="151"/>
      <c r="Q631" s="151">
        <f>SUM(G631:P631)</f>
        <v>300</v>
      </c>
    </row>
    <row r="632" spans="1:17" ht="15" customHeight="1" x14ac:dyDescent="0.25">
      <c r="A632" s="172"/>
      <c r="B632" s="172"/>
      <c r="C632" s="188"/>
      <c r="D632" s="193" t="s">
        <v>785</v>
      </c>
      <c r="E632" s="183">
        <v>1</v>
      </c>
      <c r="F632" s="151">
        <v>181903</v>
      </c>
      <c r="G632" s="151"/>
      <c r="H632" s="151"/>
      <c r="I632" s="151">
        <f>100+táj2!I632</f>
        <v>100</v>
      </c>
      <c r="J632" s="151"/>
      <c r="K632" s="151"/>
      <c r="L632" s="151"/>
      <c r="M632" s="151"/>
      <c r="N632" s="151"/>
      <c r="O632" s="151"/>
      <c r="P632" s="151"/>
      <c r="Q632" s="151">
        <f>SUM(G632:P632)</f>
        <v>100</v>
      </c>
    </row>
    <row r="633" spans="1:17" ht="14.1" customHeight="1" x14ac:dyDescent="0.25">
      <c r="A633" s="428"/>
      <c r="B633" s="428"/>
      <c r="C633" s="428"/>
      <c r="D633" s="186" t="s">
        <v>786</v>
      </c>
      <c r="E633" s="151">
        <v>1</v>
      </c>
      <c r="F633" s="151">
        <v>181904</v>
      </c>
      <c r="G633" s="151"/>
      <c r="H633" s="151"/>
      <c r="I633" s="151">
        <f>300+táj2!I633</f>
        <v>300</v>
      </c>
      <c r="J633" s="151"/>
      <c r="K633" s="151"/>
      <c r="L633" s="151"/>
      <c r="M633" s="151"/>
      <c r="N633" s="151"/>
      <c r="O633" s="151"/>
      <c r="P633" s="151"/>
      <c r="Q633" s="151">
        <f>SUM(G633:P633)</f>
        <v>300</v>
      </c>
    </row>
    <row r="634" spans="1:17" ht="15" customHeight="1" x14ac:dyDescent="0.25">
      <c r="A634" s="198"/>
      <c r="B634" s="198"/>
      <c r="C634" s="196"/>
      <c r="D634" s="196" t="s">
        <v>787</v>
      </c>
      <c r="E634" s="197"/>
      <c r="F634" s="197"/>
      <c r="G634" s="228">
        <f t="shared" ref="G634:Q634" si="52">SUM(G619:G633)</f>
        <v>176407</v>
      </c>
      <c r="H634" s="228">
        <f t="shared" si="52"/>
        <v>23863</v>
      </c>
      <c r="I634" s="228">
        <f t="shared" si="52"/>
        <v>84627</v>
      </c>
      <c r="J634" s="228">
        <f t="shared" si="52"/>
        <v>0</v>
      </c>
      <c r="K634" s="228">
        <f t="shared" si="52"/>
        <v>6500</v>
      </c>
      <c r="L634" s="228">
        <f t="shared" si="52"/>
        <v>1000</v>
      </c>
      <c r="M634" s="228">
        <f t="shared" si="52"/>
        <v>9525</v>
      </c>
      <c r="N634" s="228">
        <f t="shared" si="52"/>
        <v>0</v>
      </c>
      <c r="O634" s="228">
        <f t="shared" si="52"/>
        <v>0</v>
      </c>
      <c r="P634" s="228">
        <f t="shared" si="52"/>
        <v>0</v>
      </c>
      <c r="Q634" s="228">
        <f t="shared" si="52"/>
        <v>301922</v>
      </c>
    </row>
    <row r="635" spans="1:17" ht="15" customHeight="1" x14ac:dyDescent="0.25">
      <c r="A635" s="202"/>
      <c r="B635" s="202"/>
      <c r="C635" s="221"/>
      <c r="D635" s="218" t="s">
        <v>788</v>
      </c>
      <c r="E635" s="201"/>
      <c r="F635" s="201"/>
      <c r="G635" s="177"/>
      <c r="H635" s="177"/>
      <c r="I635" s="177"/>
      <c r="J635" s="177"/>
      <c r="K635" s="177"/>
      <c r="L635" s="177"/>
      <c r="M635" s="177"/>
      <c r="N635" s="177"/>
      <c r="O635" s="177"/>
      <c r="P635" s="177"/>
      <c r="Q635" s="177"/>
    </row>
    <row r="636" spans="1:17" ht="27" customHeight="1" x14ac:dyDescent="0.25">
      <c r="A636" s="202"/>
      <c r="B636" s="202"/>
      <c r="C636" s="507" t="s">
        <v>92</v>
      </c>
      <c r="D636" s="882" t="s">
        <v>1109</v>
      </c>
      <c r="E636" s="883"/>
      <c r="F636" s="510">
        <v>182912</v>
      </c>
      <c r="G636" s="245"/>
      <c r="H636" s="245"/>
      <c r="I636" s="534">
        <f>3278+táj2!I636</f>
        <v>3278</v>
      </c>
      <c r="J636" s="534"/>
      <c r="K636" s="534"/>
      <c r="L636" s="534">
        <f>64913+táj2!L636</f>
        <v>64913</v>
      </c>
      <c r="M636" s="245"/>
      <c r="N636" s="245"/>
      <c r="O636" s="245"/>
      <c r="P636" s="245"/>
      <c r="Q636" s="177">
        <f>SUM(G636:P636)</f>
        <v>68191</v>
      </c>
    </row>
    <row r="637" spans="1:17" ht="18.75" customHeight="1" x14ac:dyDescent="0.25">
      <c r="A637" s="588"/>
      <c r="B637" s="588"/>
      <c r="C637" s="507" t="s">
        <v>91</v>
      </c>
      <c r="D637" s="882" t="s">
        <v>1224</v>
      </c>
      <c r="E637" s="883"/>
      <c r="F637" s="586">
        <v>182902</v>
      </c>
      <c r="G637" s="245"/>
      <c r="H637" s="245"/>
      <c r="I637" s="534"/>
      <c r="J637" s="534"/>
      <c r="K637" s="534"/>
      <c r="L637" s="534">
        <f>1000+táj2!L637</f>
        <v>1000</v>
      </c>
      <c r="M637" s="245"/>
      <c r="N637" s="245"/>
      <c r="O637" s="245"/>
      <c r="P637" s="245"/>
      <c r="Q637" s="177">
        <f>SUM(G637:P637)</f>
        <v>1000</v>
      </c>
    </row>
    <row r="638" spans="1:17" ht="15" customHeight="1" x14ac:dyDescent="0.25">
      <c r="A638" s="202"/>
      <c r="B638" s="202"/>
      <c r="C638" s="246"/>
      <c r="D638" s="790" t="s">
        <v>1026</v>
      </c>
      <c r="E638" s="819"/>
      <c r="F638" s="510"/>
      <c r="G638" s="245"/>
      <c r="H638" s="245"/>
      <c r="I638" s="245"/>
      <c r="J638" s="245"/>
      <c r="K638" s="245"/>
      <c r="L638" s="534"/>
      <c r="M638" s="245"/>
      <c r="N638" s="245"/>
      <c r="O638" s="177"/>
      <c r="P638" s="177"/>
      <c r="Q638" s="177"/>
    </row>
    <row r="639" spans="1:17" ht="15" customHeight="1" x14ac:dyDescent="0.25">
      <c r="A639" s="202"/>
      <c r="B639" s="202"/>
      <c r="C639" s="188" t="s">
        <v>355</v>
      </c>
      <c r="D639" s="358" t="s">
        <v>790</v>
      </c>
      <c r="E639" s="429"/>
      <c r="F639" s="533">
        <v>182905</v>
      </c>
      <c r="G639" s="245"/>
      <c r="H639" s="245"/>
      <c r="I639" s="245"/>
      <c r="J639" s="245"/>
      <c r="K639" s="245"/>
      <c r="L639" s="534">
        <f>3542+táj2!L639</f>
        <v>3542</v>
      </c>
      <c r="M639" s="245"/>
      <c r="N639" s="245"/>
      <c r="O639" s="245"/>
      <c r="P639" s="245"/>
      <c r="Q639" s="177">
        <f>SUM(G639:P639)</f>
        <v>3542</v>
      </c>
    </row>
    <row r="640" spans="1:17" ht="15" customHeight="1" x14ac:dyDescent="0.25">
      <c r="A640" s="202"/>
      <c r="B640" s="202"/>
      <c r="C640" s="188" t="s">
        <v>357</v>
      </c>
      <c r="D640" s="398" t="s">
        <v>789</v>
      </c>
      <c r="E640" s="244"/>
      <c r="F640" s="247">
        <v>182911</v>
      </c>
      <c r="G640" s="245"/>
      <c r="H640" s="245"/>
      <c r="I640" s="245"/>
      <c r="J640" s="245"/>
      <c r="K640" s="245"/>
      <c r="L640" s="534">
        <f>1700+táj2!L640</f>
        <v>1700</v>
      </c>
      <c r="M640" s="245"/>
      <c r="N640" s="245"/>
      <c r="O640" s="245"/>
      <c r="P640" s="245"/>
      <c r="Q640" s="177">
        <f>SUM(G640:P640)</f>
        <v>1700</v>
      </c>
    </row>
    <row r="641" spans="1:17" ht="15" customHeight="1" x14ac:dyDescent="0.25">
      <c r="A641" s="198"/>
      <c r="B641" s="198"/>
      <c r="C641" s="196"/>
      <c r="D641" s="196" t="s">
        <v>791</v>
      </c>
      <c r="E641" s="197"/>
      <c r="F641" s="197"/>
      <c r="G641" s="261">
        <f>SUM(G634:G640)</f>
        <v>176407</v>
      </c>
      <c r="H641" s="261">
        <f t="shared" ref="H641:Q641" si="53">SUM(H634:H640)</f>
        <v>23863</v>
      </c>
      <c r="I641" s="261">
        <f t="shared" si="53"/>
        <v>87905</v>
      </c>
      <c r="J641" s="261">
        <f t="shared" si="53"/>
        <v>0</v>
      </c>
      <c r="K641" s="261">
        <f t="shared" si="53"/>
        <v>6500</v>
      </c>
      <c r="L641" s="261">
        <f t="shared" si="53"/>
        <v>72155</v>
      </c>
      <c r="M641" s="261">
        <f t="shared" si="53"/>
        <v>9525</v>
      </c>
      <c r="N641" s="261">
        <f t="shared" si="53"/>
        <v>0</v>
      </c>
      <c r="O641" s="261">
        <f t="shared" si="53"/>
        <v>0</v>
      </c>
      <c r="P641" s="261">
        <f t="shared" si="53"/>
        <v>0</v>
      </c>
      <c r="Q641" s="261">
        <f t="shared" si="53"/>
        <v>376355</v>
      </c>
    </row>
    <row r="642" spans="1:17" ht="15" customHeight="1" x14ac:dyDescent="0.25">
      <c r="A642" s="172">
        <v>1</v>
      </c>
      <c r="B642" s="172">
        <v>19</v>
      </c>
      <c r="C642" s="188"/>
      <c r="D642" s="221" t="s">
        <v>792</v>
      </c>
      <c r="E642" s="200"/>
      <c r="F642" s="200"/>
      <c r="G642" s="151"/>
      <c r="H642" s="177"/>
      <c r="I642" s="177"/>
      <c r="J642" s="177"/>
      <c r="K642" s="177"/>
      <c r="L642" s="177"/>
      <c r="M642" s="151"/>
      <c r="N642" s="151"/>
      <c r="O642" s="151"/>
      <c r="P642" s="151"/>
      <c r="Q642" s="151"/>
    </row>
    <row r="643" spans="1:17" ht="15" customHeight="1" x14ac:dyDescent="0.25">
      <c r="A643" s="172"/>
      <c r="B643" s="172"/>
      <c r="C643" s="188"/>
      <c r="D643" s="185" t="s">
        <v>793</v>
      </c>
      <c r="E643" s="204"/>
      <c r="F643" s="204"/>
      <c r="G643" s="151"/>
      <c r="H643" s="177"/>
      <c r="I643" s="177"/>
      <c r="J643" s="177"/>
      <c r="K643" s="177"/>
      <c r="L643" s="177"/>
      <c r="M643" s="151"/>
      <c r="N643" s="151"/>
      <c r="O643" s="151"/>
      <c r="P643" s="151"/>
      <c r="Q643" s="151"/>
    </row>
    <row r="644" spans="1:17" ht="15" customHeight="1" x14ac:dyDescent="0.25">
      <c r="A644" s="172"/>
      <c r="B644" s="172"/>
      <c r="C644" s="188"/>
      <c r="D644" s="186" t="s">
        <v>1084</v>
      </c>
      <c r="E644" s="183">
        <v>1</v>
      </c>
      <c r="F644" s="151">
        <v>191101</v>
      </c>
      <c r="G644" s="151"/>
      <c r="H644" s="151"/>
      <c r="I644" s="151"/>
      <c r="J644" s="151"/>
      <c r="K644" s="151">
        <f>8000+táj2!K644</f>
        <v>11000</v>
      </c>
      <c r="L644" s="151"/>
      <c r="M644" s="151"/>
      <c r="N644" s="151"/>
      <c r="O644" s="151"/>
      <c r="P644" s="151"/>
      <c r="Q644" s="151">
        <f>SUM(G644:P644)</f>
        <v>11000</v>
      </c>
    </row>
    <row r="645" spans="1:17" ht="15" customHeight="1" x14ac:dyDescent="0.25">
      <c r="A645" s="172"/>
      <c r="B645" s="172"/>
      <c r="C645" s="188"/>
      <c r="D645" s="186" t="s">
        <v>1085</v>
      </c>
      <c r="E645" s="183">
        <v>1</v>
      </c>
      <c r="F645" s="151">
        <v>191901</v>
      </c>
      <c r="G645" s="151"/>
      <c r="H645" s="151"/>
      <c r="I645" s="151"/>
      <c r="J645" s="151"/>
      <c r="K645" s="151"/>
      <c r="L645" s="151"/>
      <c r="M645" s="151"/>
      <c r="N645" s="151"/>
      <c r="O645" s="151"/>
      <c r="P645" s="151">
        <f>171582+táj2!P645</f>
        <v>171582</v>
      </c>
      <c r="Q645" s="151">
        <f>SUM(G645:P645)</f>
        <v>171582</v>
      </c>
    </row>
    <row r="646" spans="1:17" ht="15" customHeight="1" x14ac:dyDescent="0.25">
      <c r="A646" s="172"/>
      <c r="B646" s="172"/>
      <c r="C646" s="188"/>
      <c r="D646" s="186" t="s">
        <v>794</v>
      </c>
      <c r="E646" s="183">
        <v>1</v>
      </c>
      <c r="F646" s="151">
        <v>191901</v>
      </c>
      <c r="G646" s="151"/>
      <c r="H646" s="151"/>
      <c r="I646" s="151"/>
      <c r="J646" s="151"/>
      <c r="K646" s="151">
        <f>1016337+táj2!K646</f>
        <v>1016337</v>
      </c>
      <c r="L646" s="151"/>
      <c r="M646" s="151"/>
      <c r="N646" s="151"/>
      <c r="O646" s="151"/>
      <c r="P646" s="151"/>
      <c r="Q646" s="151">
        <f>SUM(G646:P646)</f>
        <v>1016337</v>
      </c>
    </row>
    <row r="647" spans="1:17" ht="15" customHeight="1" x14ac:dyDescent="0.25">
      <c r="A647" s="172"/>
      <c r="B647" s="172"/>
      <c r="C647" s="188"/>
      <c r="D647" s="189" t="s">
        <v>216</v>
      </c>
      <c r="E647" s="208"/>
      <c r="F647" s="208"/>
      <c r="G647" s="151"/>
      <c r="H647" s="151"/>
      <c r="I647" s="151"/>
      <c r="J647" s="151"/>
      <c r="K647" s="151"/>
      <c r="L647" s="151"/>
      <c r="M647" s="151"/>
      <c r="N647" s="151"/>
      <c r="O647" s="151"/>
      <c r="P647" s="151"/>
      <c r="Q647" s="151"/>
    </row>
    <row r="648" spans="1:17" ht="15" customHeight="1" x14ac:dyDescent="0.25">
      <c r="A648" s="172"/>
      <c r="B648" s="172"/>
      <c r="C648" s="188"/>
      <c r="D648" s="186" t="s">
        <v>795</v>
      </c>
      <c r="E648" s="183">
        <v>1</v>
      </c>
      <c r="F648" s="151">
        <v>191102</v>
      </c>
      <c r="G648" s="151"/>
      <c r="H648" s="151"/>
      <c r="I648" s="151">
        <f>25000+táj2!I648</f>
        <v>25000</v>
      </c>
      <c r="J648" s="151"/>
      <c r="K648" s="151"/>
      <c r="L648" s="151"/>
      <c r="M648" s="151"/>
      <c r="N648" s="151"/>
      <c r="O648" s="151"/>
      <c r="P648" s="151"/>
      <c r="Q648" s="151">
        <f t="shared" ref="Q648:Q651" si="54">SUM(G648:P648)</f>
        <v>25000</v>
      </c>
    </row>
    <row r="649" spans="1:17" ht="15" customHeight="1" x14ac:dyDescent="0.25">
      <c r="A649" s="172"/>
      <c r="B649" s="172"/>
      <c r="C649" s="188"/>
      <c r="D649" s="566" t="s">
        <v>796</v>
      </c>
      <c r="E649" s="151">
        <v>1</v>
      </c>
      <c r="F649" s="151">
        <v>191103</v>
      </c>
      <c r="G649" s="151"/>
      <c r="H649" s="151"/>
      <c r="I649" s="151">
        <f>309418+táj2!I649</f>
        <v>311008</v>
      </c>
      <c r="J649" s="151"/>
      <c r="K649" s="151"/>
      <c r="L649" s="151"/>
      <c r="M649" s="151"/>
      <c r="N649" s="151"/>
      <c r="O649" s="151"/>
      <c r="P649" s="151"/>
      <c r="Q649" s="151">
        <f t="shared" si="54"/>
        <v>311008</v>
      </c>
    </row>
    <row r="650" spans="1:17" ht="15" customHeight="1" x14ac:dyDescent="0.25">
      <c r="A650" s="172"/>
      <c r="B650" s="172"/>
      <c r="C650" s="188"/>
      <c r="D650" s="186" t="s">
        <v>797</v>
      </c>
      <c r="E650" s="151">
        <v>1</v>
      </c>
      <c r="F650" s="151">
        <v>191105</v>
      </c>
      <c r="G650" s="151"/>
      <c r="H650" s="151"/>
      <c r="I650" s="151">
        <f>4200+táj2!I650</f>
        <v>4200</v>
      </c>
      <c r="J650" s="151"/>
      <c r="K650" s="151"/>
      <c r="L650" s="151"/>
      <c r="M650" s="151"/>
      <c r="N650" s="151"/>
      <c r="O650" s="151"/>
      <c r="P650" s="151"/>
      <c r="Q650" s="151">
        <f t="shared" si="54"/>
        <v>4200</v>
      </c>
    </row>
    <row r="651" spans="1:17" ht="15" customHeight="1" x14ac:dyDescent="0.25">
      <c r="A651" s="172"/>
      <c r="B651" s="172"/>
      <c r="C651" s="188"/>
      <c r="D651" s="186" t="s">
        <v>798</v>
      </c>
      <c r="E651" s="151">
        <v>1</v>
      </c>
      <c r="F651" s="151">
        <v>196901</v>
      </c>
      <c r="G651" s="151"/>
      <c r="H651" s="151"/>
      <c r="I651" s="151">
        <f>400+táj2!I651</f>
        <v>400</v>
      </c>
      <c r="J651" s="151"/>
      <c r="K651" s="151"/>
      <c r="L651" s="151"/>
      <c r="M651" s="151"/>
      <c r="N651" s="151">
        <f>6017+táj2!N651</f>
        <v>6017</v>
      </c>
      <c r="O651" s="151"/>
      <c r="P651" s="151"/>
      <c r="Q651" s="151">
        <f t="shared" si="54"/>
        <v>6417</v>
      </c>
    </row>
    <row r="652" spans="1:17" ht="15" customHeight="1" x14ac:dyDescent="0.25">
      <c r="A652" s="172"/>
      <c r="B652" s="172"/>
      <c r="C652" s="188"/>
      <c r="D652" s="186" t="s">
        <v>225</v>
      </c>
      <c r="E652" s="151"/>
      <c r="F652" s="151"/>
      <c r="G652" s="151"/>
      <c r="H652" s="151"/>
      <c r="I652" s="151"/>
      <c r="J652" s="151"/>
      <c r="K652" s="151"/>
      <c r="L652" s="151"/>
      <c r="M652" s="151"/>
      <c r="N652" s="151"/>
      <c r="O652" s="151"/>
      <c r="P652" s="151"/>
      <c r="Q652" s="151"/>
    </row>
    <row r="653" spans="1:17" ht="15" customHeight="1" x14ac:dyDescent="0.25">
      <c r="A653" s="172"/>
      <c r="B653" s="172"/>
      <c r="C653" s="188"/>
      <c r="D653" s="186" t="s">
        <v>799</v>
      </c>
      <c r="E653" s="151">
        <v>1</v>
      </c>
      <c r="F653" s="151">
        <v>191104</v>
      </c>
      <c r="G653" s="151"/>
      <c r="H653" s="151"/>
      <c r="I653" s="151">
        <f>9976+táj2!I653</f>
        <v>9976</v>
      </c>
      <c r="J653" s="151"/>
      <c r="K653" s="151"/>
      <c r="L653" s="151"/>
      <c r="M653" s="151"/>
      <c r="N653" s="151"/>
      <c r="O653" s="151"/>
      <c r="P653" s="151"/>
      <c r="Q653" s="151">
        <f>SUM(G653:P653)</f>
        <v>9976</v>
      </c>
    </row>
    <row r="654" spans="1:17" ht="14.1" customHeight="1" x14ac:dyDescent="0.25">
      <c r="A654" s="172"/>
      <c r="B654" s="172"/>
      <c r="C654" s="188"/>
      <c r="D654" s="190" t="s">
        <v>800</v>
      </c>
      <c r="E654" s="151"/>
      <c r="F654" s="151"/>
      <c r="G654" s="151"/>
      <c r="H654" s="151"/>
      <c r="I654" s="151"/>
      <c r="J654" s="151"/>
      <c r="K654" s="151"/>
      <c r="L654" s="151"/>
      <c r="M654" s="151"/>
      <c r="N654" s="151"/>
      <c r="O654" s="151"/>
      <c r="P654" s="151"/>
      <c r="Q654" s="151"/>
    </row>
    <row r="655" spans="1:17" ht="14.1" customHeight="1" x14ac:dyDescent="0.25">
      <c r="A655" s="172"/>
      <c r="B655" s="172"/>
      <c r="C655" s="188"/>
      <c r="D655" s="186" t="s">
        <v>801</v>
      </c>
      <c r="E655" s="151">
        <v>2</v>
      </c>
      <c r="F655" s="151">
        <v>191109</v>
      </c>
      <c r="G655" s="151"/>
      <c r="H655" s="151"/>
      <c r="I655" s="151"/>
      <c r="J655" s="151"/>
      <c r="K655" s="151">
        <f>5000+táj2!K655</f>
        <v>5000</v>
      </c>
      <c r="L655" s="151"/>
      <c r="M655" s="151"/>
      <c r="N655" s="151"/>
      <c r="O655" s="151"/>
      <c r="P655" s="151"/>
      <c r="Q655" s="151">
        <f>SUM(G655:P655)</f>
        <v>5000</v>
      </c>
    </row>
    <row r="656" spans="1:17" ht="15" customHeight="1" x14ac:dyDescent="0.25">
      <c r="A656" s="172"/>
      <c r="B656" s="172"/>
      <c r="C656" s="188"/>
      <c r="D656" s="189" t="s">
        <v>216</v>
      </c>
      <c r="E656" s="208"/>
      <c r="F656" s="208"/>
      <c r="G656" s="151"/>
      <c r="H656" s="151"/>
      <c r="I656" s="151"/>
      <c r="J656" s="151"/>
      <c r="K656" s="151"/>
      <c r="L656" s="151"/>
      <c r="M656" s="151"/>
      <c r="N656" s="151"/>
      <c r="O656" s="151"/>
      <c r="P656" s="151"/>
      <c r="Q656" s="151"/>
    </row>
    <row r="657" spans="1:17" ht="17.25" customHeight="1" x14ac:dyDescent="0.25">
      <c r="A657" s="172"/>
      <c r="B657" s="172"/>
      <c r="C657" s="188"/>
      <c r="D657" s="205" t="s">
        <v>804</v>
      </c>
      <c r="E657" s="183">
        <v>1</v>
      </c>
      <c r="F657" s="151">
        <v>191905</v>
      </c>
      <c r="G657" s="151"/>
      <c r="H657" s="151"/>
      <c r="I657" s="151"/>
      <c r="J657" s="151"/>
      <c r="K657" s="151">
        <f>471178+táj2!K657</f>
        <v>491183</v>
      </c>
      <c r="L657" s="151"/>
      <c r="M657" s="151"/>
      <c r="N657" s="151"/>
      <c r="O657" s="151"/>
      <c r="P657" s="151"/>
      <c r="Q657" s="151">
        <f>SUM(G657:P657)</f>
        <v>491183</v>
      </c>
    </row>
    <row r="658" spans="1:17" ht="15" customHeight="1" x14ac:dyDescent="0.25">
      <c r="A658" s="172"/>
      <c r="B658" s="172"/>
      <c r="C658" s="188"/>
      <c r="D658" s="189" t="s">
        <v>216</v>
      </c>
      <c r="E658" s="208"/>
      <c r="F658" s="208"/>
      <c r="G658" s="151"/>
      <c r="H658" s="151"/>
      <c r="I658" s="151"/>
      <c r="J658" s="151"/>
      <c r="K658" s="151"/>
      <c r="L658" s="151"/>
      <c r="M658" s="151"/>
      <c r="N658" s="151"/>
      <c r="O658" s="151"/>
      <c r="P658" s="151"/>
      <c r="Q658" s="151"/>
    </row>
    <row r="659" spans="1:17" ht="17.25" customHeight="1" x14ac:dyDescent="0.25">
      <c r="A659" s="172"/>
      <c r="B659" s="172"/>
      <c r="C659" s="188"/>
      <c r="D659" s="186" t="s">
        <v>805</v>
      </c>
      <c r="E659" s="151">
        <v>1</v>
      </c>
      <c r="F659" s="151">
        <v>191121</v>
      </c>
      <c r="G659" s="151"/>
      <c r="H659" s="151"/>
      <c r="I659" s="151">
        <f>13000+táj2!I659</f>
        <v>13000</v>
      </c>
      <c r="J659" s="151"/>
      <c r="K659" s="151"/>
      <c r="L659" s="151"/>
      <c r="M659" s="151"/>
      <c r="N659" s="151"/>
      <c r="O659" s="151"/>
      <c r="P659" s="151"/>
      <c r="Q659" s="151">
        <f>SUM(G659:P659)</f>
        <v>13000</v>
      </c>
    </row>
    <row r="660" spans="1:17" ht="21" customHeight="1" x14ac:dyDescent="0.25">
      <c r="A660" s="172"/>
      <c r="B660" s="172"/>
      <c r="C660" s="188"/>
      <c r="D660" s="193" t="s">
        <v>303</v>
      </c>
      <c r="E660" s="208"/>
      <c r="F660" s="208"/>
      <c r="G660" s="151"/>
      <c r="H660" s="151"/>
      <c r="I660" s="151"/>
      <c r="J660" s="151"/>
      <c r="K660" s="151"/>
      <c r="L660" s="151"/>
      <c r="M660" s="151"/>
      <c r="N660" s="151"/>
      <c r="O660" s="151"/>
      <c r="P660" s="151"/>
      <c r="Q660" s="151"/>
    </row>
    <row r="661" spans="1:17" ht="26.25" customHeight="1" x14ac:dyDescent="0.25">
      <c r="A661" s="172"/>
      <c r="B661" s="172"/>
      <c r="C661" s="188"/>
      <c r="D661" s="193" t="s">
        <v>806</v>
      </c>
      <c r="E661" s="208">
        <v>1</v>
      </c>
      <c r="F661" s="210">
        <v>191152</v>
      </c>
      <c r="G661" s="151"/>
      <c r="H661" s="151"/>
      <c r="I661" s="151">
        <f>67289+táj2!I661</f>
        <v>67289</v>
      </c>
      <c r="J661" s="151"/>
      <c r="K661" s="151"/>
      <c r="L661" s="151"/>
      <c r="M661" s="151"/>
      <c r="N661" s="151"/>
      <c r="O661" s="151">
        <f>117852+táj2!O661</f>
        <v>117852</v>
      </c>
      <c r="P661" s="151"/>
      <c r="Q661" s="151">
        <f>SUM(G661:P661)</f>
        <v>185141</v>
      </c>
    </row>
    <row r="662" spans="1:17" ht="21.6" customHeight="1" x14ac:dyDescent="0.25">
      <c r="A662" s="172"/>
      <c r="B662" s="172"/>
      <c r="C662" s="188"/>
      <c r="D662" s="210" t="s">
        <v>807</v>
      </c>
      <c r="E662" s="208">
        <v>2</v>
      </c>
      <c r="F662" s="210">
        <v>196919</v>
      </c>
      <c r="G662" s="151"/>
      <c r="H662" s="151"/>
      <c r="I662" s="151"/>
      <c r="J662" s="151"/>
      <c r="K662" s="151"/>
      <c r="L662" s="151"/>
      <c r="M662" s="151"/>
      <c r="N662" s="151"/>
      <c r="O662" s="151"/>
      <c r="P662" s="151">
        <f>10000000+táj2!P662</f>
        <v>10000000</v>
      </c>
      <c r="Q662" s="151">
        <f>SUM(G662:P662)</f>
        <v>10000000</v>
      </c>
    </row>
    <row r="663" spans="1:17" ht="17.100000000000001" customHeight="1" x14ac:dyDescent="0.25">
      <c r="A663" s="172"/>
      <c r="B663" s="172"/>
      <c r="C663" s="188"/>
      <c r="D663" s="186" t="s">
        <v>808</v>
      </c>
      <c r="E663" s="151"/>
      <c r="F663" s="249"/>
      <c r="G663" s="151"/>
      <c r="H663" s="151"/>
      <c r="I663" s="151"/>
      <c r="J663" s="151"/>
      <c r="K663" s="151"/>
      <c r="L663" s="151"/>
      <c r="M663" s="151"/>
      <c r="N663" s="151"/>
      <c r="O663" s="151"/>
      <c r="P663" s="151"/>
      <c r="Q663" s="151"/>
    </row>
    <row r="664" spans="1:17" ht="17.100000000000001" customHeight="1" x14ac:dyDescent="0.25">
      <c r="A664" s="172"/>
      <c r="B664" s="172"/>
      <c r="C664" s="188"/>
      <c r="D664" s="186" t="s">
        <v>809</v>
      </c>
      <c r="E664" s="151">
        <v>2</v>
      </c>
      <c r="F664" s="250" t="s">
        <v>810</v>
      </c>
      <c r="G664" s="151"/>
      <c r="H664" s="151"/>
      <c r="I664" s="151"/>
      <c r="J664" s="151"/>
      <c r="K664" s="151">
        <f>3239+táj2!K664</f>
        <v>3139</v>
      </c>
      <c r="L664" s="151"/>
      <c r="M664" s="151"/>
      <c r="N664" s="151">
        <f>0+táj2!N664</f>
        <v>100</v>
      </c>
      <c r="O664" s="151"/>
      <c r="P664" s="151"/>
      <c r="Q664" s="151">
        <f>SUM(G664:P664)</f>
        <v>3239</v>
      </c>
    </row>
    <row r="665" spans="1:17" ht="17.100000000000001" customHeight="1" x14ac:dyDescent="0.25">
      <c r="A665" s="194"/>
      <c r="B665" s="194"/>
      <c r="C665" s="195"/>
      <c r="D665" s="196" t="s">
        <v>811</v>
      </c>
      <c r="E665" s="197"/>
      <c r="F665" s="197"/>
      <c r="G665" s="198">
        <f t="shared" ref="G665:Q665" si="55">SUM(G642:G664)</f>
        <v>0</v>
      </c>
      <c r="H665" s="198">
        <f t="shared" si="55"/>
        <v>0</v>
      </c>
      <c r="I665" s="198">
        <f t="shared" si="55"/>
        <v>430873</v>
      </c>
      <c r="J665" s="198">
        <f t="shared" si="55"/>
        <v>0</v>
      </c>
      <c r="K665" s="198">
        <f t="shared" si="55"/>
        <v>1526659</v>
      </c>
      <c r="L665" s="198">
        <f t="shared" si="55"/>
        <v>0</v>
      </c>
      <c r="M665" s="198">
        <f t="shared" si="55"/>
        <v>0</v>
      </c>
      <c r="N665" s="198">
        <f t="shared" si="55"/>
        <v>6117</v>
      </c>
      <c r="O665" s="198">
        <f t="shared" si="55"/>
        <v>117852</v>
      </c>
      <c r="P665" s="198">
        <f t="shared" si="55"/>
        <v>10171582</v>
      </c>
      <c r="Q665" s="198">
        <f t="shared" si="55"/>
        <v>12253083</v>
      </c>
    </row>
    <row r="666" spans="1:17" ht="17.100000000000001" customHeight="1" x14ac:dyDescent="0.25">
      <c r="A666" s="199"/>
      <c r="B666" s="199"/>
      <c r="C666" s="217"/>
      <c r="D666" s="218" t="s">
        <v>788</v>
      </c>
      <c r="E666" s="201"/>
      <c r="F666" s="201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02"/>
    </row>
    <row r="667" spans="1:17" ht="28.2" customHeight="1" x14ac:dyDescent="0.25">
      <c r="A667" s="199"/>
      <c r="B667" s="199"/>
      <c r="C667" s="188" t="s">
        <v>92</v>
      </c>
      <c r="D667" s="193" t="s">
        <v>1087</v>
      </c>
      <c r="E667" s="201"/>
      <c r="F667" s="200">
        <v>192909</v>
      </c>
      <c r="G667" s="202"/>
      <c r="H667" s="202"/>
      <c r="I667" s="202"/>
      <c r="J667" s="202"/>
      <c r="K667" s="202"/>
      <c r="L667" s="202"/>
      <c r="M667" s="202"/>
      <c r="N667" s="151">
        <f>500+táj2!N667</f>
        <v>500</v>
      </c>
      <c r="O667" s="151"/>
      <c r="P667" s="151"/>
      <c r="Q667" s="151">
        <f>SUM(G667:P667)</f>
        <v>500</v>
      </c>
    </row>
    <row r="668" spans="1:17" ht="17.100000000000001" customHeight="1" x14ac:dyDescent="0.25">
      <c r="A668" s="194">
        <v>1</v>
      </c>
      <c r="B668" s="194">
        <v>20</v>
      </c>
      <c r="C668" s="195"/>
      <c r="D668" s="196" t="s">
        <v>317</v>
      </c>
      <c r="E668" s="197"/>
      <c r="F668" s="197"/>
      <c r="G668" s="198">
        <f t="shared" ref="G668:M668" si="56">SUM(G665:G667)</f>
        <v>0</v>
      </c>
      <c r="H668" s="198">
        <f t="shared" si="56"/>
        <v>0</v>
      </c>
      <c r="I668" s="198">
        <f t="shared" si="56"/>
        <v>430873</v>
      </c>
      <c r="J668" s="198">
        <f t="shared" si="56"/>
        <v>0</v>
      </c>
      <c r="K668" s="198">
        <f t="shared" si="56"/>
        <v>1526659</v>
      </c>
      <c r="L668" s="198">
        <f t="shared" si="56"/>
        <v>0</v>
      </c>
      <c r="M668" s="198">
        <f t="shared" si="56"/>
        <v>0</v>
      </c>
      <c r="N668" s="198">
        <f>SUM(N665:N667)</f>
        <v>6617</v>
      </c>
      <c r="O668" s="198">
        <f t="shared" ref="O668:Q668" si="57">SUM(O665:O667)</f>
        <v>117852</v>
      </c>
      <c r="P668" s="198">
        <f t="shared" si="57"/>
        <v>10171582</v>
      </c>
      <c r="Q668" s="198">
        <f t="shared" si="57"/>
        <v>12253583</v>
      </c>
    </row>
    <row r="669" spans="1:17" ht="17.100000000000001" customHeight="1" x14ac:dyDescent="0.25">
      <c r="A669" s="199"/>
      <c r="B669" s="199"/>
      <c r="C669" s="217"/>
      <c r="D669" s="221" t="s">
        <v>1088</v>
      </c>
      <c r="E669" s="201"/>
      <c r="F669" s="201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02"/>
    </row>
    <row r="670" spans="1:17" ht="17.100000000000001" customHeight="1" x14ac:dyDescent="0.25">
      <c r="A670" s="199"/>
      <c r="B670" s="199"/>
      <c r="C670" s="217"/>
      <c r="D670" s="482" t="s">
        <v>216</v>
      </c>
      <c r="E670" s="201"/>
      <c r="F670" s="201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02"/>
    </row>
    <row r="671" spans="1:17" ht="17.100000000000001" customHeight="1" x14ac:dyDescent="0.25">
      <c r="A671" s="194"/>
      <c r="B671" s="194"/>
      <c r="C671" s="195"/>
      <c r="D671" s="196" t="s">
        <v>1089</v>
      </c>
      <c r="E671" s="197"/>
      <c r="F671" s="197"/>
      <c r="G671" s="198"/>
      <c r="H671" s="198"/>
      <c r="I671" s="198"/>
      <c r="J671" s="198"/>
      <c r="K671" s="198"/>
      <c r="L671" s="198"/>
      <c r="M671" s="198"/>
      <c r="N671" s="198"/>
      <c r="O671" s="198"/>
      <c r="P671" s="198"/>
      <c r="Q671" s="198"/>
    </row>
    <row r="672" spans="1:17" ht="17.100000000000001" customHeight="1" x14ac:dyDescent="0.25">
      <c r="A672" s="251">
        <v>1</v>
      </c>
      <c r="B672" s="251" t="s">
        <v>812</v>
      </c>
      <c r="C672" s="252"/>
      <c r="D672" s="430" t="s">
        <v>813</v>
      </c>
      <c r="E672" s="253"/>
      <c r="F672" s="253"/>
      <c r="G672" s="254"/>
      <c r="H672" s="177"/>
      <c r="I672" s="177"/>
      <c r="J672" s="177"/>
      <c r="K672" s="177"/>
      <c r="L672" s="177"/>
      <c r="M672" s="151"/>
      <c r="N672" s="151"/>
      <c r="O672" s="254"/>
      <c r="P672" s="254"/>
      <c r="Q672" s="254"/>
    </row>
    <row r="673" spans="1:17" ht="17.100000000000001" customHeight="1" x14ac:dyDescent="0.25">
      <c r="A673" s="251"/>
      <c r="B673" s="251"/>
      <c r="C673" s="252"/>
      <c r="D673" s="189" t="s">
        <v>216</v>
      </c>
      <c r="E673" s="204"/>
      <c r="F673" s="204"/>
      <c r="G673" s="254"/>
      <c r="H673" s="177"/>
      <c r="I673" s="177"/>
      <c r="J673" s="177"/>
      <c r="K673" s="177"/>
      <c r="L673" s="177"/>
      <c r="M673" s="151"/>
      <c r="N673" s="151"/>
      <c r="O673" s="254"/>
      <c r="P673" s="254"/>
      <c r="Q673" s="254"/>
    </row>
    <row r="674" spans="1:17" ht="17.100000000000001" customHeight="1" x14ac:dyDescent="0.25">
      <c r="A674" s="251"/>
      <c r="B674" s="251"/>
      <c r="C674" s="252"/>
      <c r="D674" s="190" t="s">
        <v>814</v>
      </c>
      <c r="E674" s="243">
        <v>2</v>
      </c>
      <c r="F674" s="243">
        <v>221901</v>
      </c>
      <c r="G674" s="255">
        <f>16094+táj2!G674</f>
        <v>16094</v>
      </c>
      <c r="H674" s="255">
        <f>6528+táj2!H674</f>
        <v>6528</v>
      </c>
      <c r="I674" s="255">
        <f>51504+táj2!I674</f>
        <v>51504</v>
      </c>
      <c r="J674" s="255"/>
      <c r="K674" s="255">
        <f>200+táj2!K674</f>
        <v>200</v>
      </c>
      <c r="L674" s="255"/>
      <c r="M674" s="255"/>
      <c r="N674" s="255"/>
      <c r="O674" s="255"/>
      <c r="P674" s="255"/>
      <c r="Q674" s="243">
        <f t="shared" ref="Q674:Q686" si="58">SUM(G674:P674)</f>
        <v>74326</v>
      </c>
    </row>
    <row r="675" spans="1:17" ht="17.100000000000001" customHeight="1" x14ac:dyDescent="0.25">
      <c r="A675" s="251"/>
      <c r="B675" s="251"/>
      <c r="C675" s="252"/>
      <c r="D675" s="185" t="s">
        <v>815</v>
      </c>
      <c r="E675" s="192">
        <v>1</v>
      </c>
      <c r="F675" s="151">
        <v>221912</v>
      </c>
      <c r="G675" s="255">
        <f>191+táj2!G675</f>
        <v>191</v>
      </c>
      <c r="H675" s="255">
        <f>57+táj2!H675</f>
        <v>57</v>
      </c>
      <c r="I675" s="255">
        <f>7185+táj2!I675</f>
        <v>7047</v>
      </c>
      <c r="J675" s="255"/>
      <c r="K675" s="255">
        <f>3250+táj2!K675</f>
        <v>3250</v>
      </c>
      <c r="L675" s="255"/>
      <c r="M675" s="255"/>
      <c r="N675" s="255"/>
      <c r="O675" s="255"/>
      <c r="P675" s="255"/>
      <c r="Q675" s="243">
        <f t="shared" si="58"/>
        <v>10545</v>
      </c>
    </row>
    <row r="676" spans="1:17" ht="17.100000000000001" customHeight="1" x14ac:dyDescent="0.25">
      <c r="A676" s="251"/>
      <c r="B676" s="251"/>
      <c r="C676" s="252"/>
      <c r="D676" s="193" t="s">
        <v>943</v>
      </c>
      <c r="E676" s="192">
        <v>2</v>
      </c>
      <c r="F676" s="151">
        <v>221956</v>
      </c>
      <c r="G676" s="255"/>
      <c r="H676" s="255"/>
      <c r="I676" s="255">
        <f>7000+táj2!I676</f>
        <v>0</v>
      </c>
      <c r="J676" s="255"/>
      <c r="K676" s="255">
        <f>0+táj2!K676</f>
        <v>7000</v>
      </c>
      <c r="L676" s="255"/>
      <c r="M676" s="255"/>
      <c r="N676" s="255"/>
      <c r="O676" s="255"/>
      <c r="P676" s="255"/>
      <c r="Q676" s="243">
        <f t="shared" si="58"/>
        <v>7000</v>
      </c>
    </row>
    <row r="677" spans="1:17" ht="17.100000000000001" customHeight="1" x14ac:dyDescent="0.25">
      <c r="A677" s="251"/>
      <c r="B677" s="251"/>
      <c r="C677" s="252"/>
      <c r="D677" s="185" t="s">
        <v>816</v>
      </c>
      <c r="E677" s="192">
        <v>2</v>
      </c>
      <c r="F677" s="151">
        <v>221916</v>
      </c>
      <c r="G677" s="255"/>
      <c r="H677" s="255"/>
      <c r="I677" s="255"/>
      <c r="J677" s="255"/>
      <c r="K677" s="255">
        <f>35000+táj2!K677</f>
        <v>35000</v>
      </c>
      <c r="L677" s="255"/>
      <c r="M677" s="255"/>
      <c r="N677" s="255"/>
      <c r="O677" s="255"/>
      <c r="P677" s="255"/>
      <c r="Q677" s="243">
        <f t="shared" si="58"/>
        <v>35000</v>
      </c>
    </row>
    <row r="678" spans="1:17" ht="17.100000000000001" customHeight="1" x14ac:dyDescent="0.25">
      <c r="A678" s="251"/>
      <c r="B678" s="251"/>
      <c r="C678" s="252"/>
      <c r="D678" s="186" t="s">
        <v>817</v>
      </c>
      <c r="E678" s="192">
        <v>2</v>
      </c>
      <c r="F678" s="151">
        <v>221904</v>
      </c>
      <c r="G678" s="255"/>
      <c r="H678" s="255"/>
      <c r="I678" s="255">
        <f>2000+táj2!I678</f>
        <v>2000</v>
      </c>
      <c r="J678" s="255"/>
      <c r="K678" s="255"/>
      <c r="L678" s="255"/>
      <c r="M678" s="255"/>
      <c r="N678" s="255"/>
      <c r="O678" s="255"/>
      <c r="P678" s="255"/>
      <c r="Q678" s="243">
        <f t="shared" si="58"/>
        <v>2000</v>
      </c>
    </row>
    <row r="679" spans="1:17" ht="17.100000000000001" customHeight="1" x14ac:dyDescent="0.25">
      <c r="A679" s="251"/>
      <c r="B679" s="251"/>
      <c r="C679" s="252"/>
      <c r="D679" s="186" t="s">
        <v>818</v>
      </c>
      <c r="E679" s="151">
        <v>2</v>
      </c>
      <c r="F679" s="151">
        <v>221922</v>
      </c>
      <c r="G679" s="255"/>
      <c r="H679" s="255"/>
      <c r="I679" s="255">
        <f>7000+táj2!I679</f>
        <v>7000</v>
      </c>
      <c r="J679" s="255"/>
      <c r="K679" s="255"/>
      <c r="L679" s="255"/>
      <c r="M679" s="255"/>
      <c r="N679" s="255"/>
      <c r="O679" s="255"/>
      <c r="P679" s="255"/>
      <c r="Q679" s="243">
        <f t="shared" si="58"/>
        <v>7000</v>
      </c>
    </row>
    <row r="680" spans="1:17" ht="17.100000000000001" customHeight="1" x14ac:dyDescent="0.25">
      <c r="A680" s="251"/>
      <c r="B680" s="251"/>
      <c r="C680" s="252"/>
      <c r="D680" s="186" t="s">
        <v>819</v>
      </c>
      <c r="E680" s="183">
        <v>2</v>
      </c>
      <c r="F680" s="151">
        <v>221939</v>
      </c>
      <c r="G680" s="255"/>
      <c r="H680" s="255"/>
      <c r="I680" s="255">
        <f>1300+táj2!I680</f>
        <v>1300</v>
      </c>
      <c r="J680" s="255"/>
      <c r="K680" s="255">
        <f>700+táj2!K680</f>
        <v>700</v>
      </c>
      <c r="L680" s="255"/>
      <c r="M680" s="255"/>
      <c r="N680" s="255"/>
      <c r="O680" s="255"/>
      <c r="P680" s="255"/>
      <c r="Q680" s="243">
        <f t="shared" si="58"/>
        <v>2000</v>
      </c>
    </row>
    <row r="681" spans="1:17" ht="17.100000000000001" customHeight="1" x14ac:dyDescent="0.25">
      <c r="A681" s="251"/>
      <c r="B681" s="251"/>
      <c r="C681" s="252"/>
      <c r="D681" s="186" t="s">
        <v>820</v>
      </c>
      <c r="E681" s="183">
        <v>2</v>
      </c>
      <c r="F681" s="151">
        <v>221927</v>
      </c>
      <c r="G681" s="255"/>
      <c r="H681" s="255"/>
      <c r="I681" s="255"/>
      <c r="J681" s="255"/>
      <c r="K681" s="255">
        <f>2800+táj2!K681</f>
        <v>2800</v>
      </c>
      <c r="L681" s="255"/>
      <c r="M681" s="255"/>
      <c r="N681" s="255"/>
      <c r="O681" s="255"/>
      <c r="P681" s="255"/>
      <c r="Q681" s="243">
        <f t="shared" si="58"/>
        <v>2800</v>
      </c>
    </row>
    <row r="682" spans="1:17" ht="24.75" customHeight="1" x14ac:dyDescent="0.25">
      <c r="A682" s="251"/>
      <c r="B682" s="251"/>
      <c r="C682" s="252"/>
      <c r="D682" s="431" t="s">
        <v>821</v>
      </c>
      <c r="E682" s="183">
        <v>2</v>
      </c>
      <c r="F682" s="151">
        <v>221935</v>
      </c>
      <c r="G682" s="255"/>
      <c r="H682" s="255"/>
      <c r="I682" s="255"/>
      <c r="J682" s="255"/>
      <c r="K682" s="255">
        <f>30000+táj2!K682</f>
        <v>30000</v>
      </c>
      <c r="L682" s="255"/>
      <c r="M682" s="255"/>
      <c r="N682" s="255"/>
      <c r="O682" s="255"/>
      <c r="P682" s="255"/>
      <c r="Q682" s="243">
        <f t="shared" si="58"/>
        <v>30000</v>
      </c>
    </row>
    <row r="683" spans="1:17" ht="17.100000000000001" customHeight="1" x14ac:dyDescent="0.25">
      <c r="A683" s="251"/>
      <c r="B683" s="251"/>
      <c r="C683" s="252"/>
      <c r="D683" s="186" t="s">
        <v>822</v>
      </c>
      <c r="E683" s="151">
        <v>2</v>
      </c>
      <c r="F683" s="151">
        <v>191110</v>
      </c>
      <c r="G683" s="255">
        <f>16250+táj2!G683</f>
        <v>16250</v>
      </c>
      <c r="H683" s="255">
        <f>5000+táj2!H683</f>
        <v>5000</v>
      </c>
      <c r="I683" s="255">
        <f>3750+táj2!I683</f>
        <v>3750</v>
      </c>
      <c r="J683" s="255"/>
      <c r="K683" s="255"/>
      <c r="L683" s="255"/>
      <c r="M683" s="255"/>
      <c r="N683" s="255"/>
      <c r="O683" s="255"/>
      <c r="P683" s="255"/>
      <c r="Q683" s="243">
        <f t="shared" si="58"/>
        <v>25000</v>
      </c>
    </row>
    <row r="684" spans="1:17" ht="17.100000000000001" customHeight="1" x14ac:dyDescent="0.25">
      <c r="A684" s="251"/>
      <c r="B684" s="251"/>
      <c r="C684" s="252"/>
      <c r="D684" s="186" t="s">
        <v>1090</v>
      </c>
      <c r="E684" s="151">
        <v>2</v>
      </c>
      <c r="F684" s="268">
        <v>221967</v>
      </c>
      <c r="G684" s="255">
        <f>3460+táj2!G684</f>
        <v>3460</v>
      </c>
      <c r="H684" s="255">
        <f>940+táj2!H684</f>
        <v>940</v>
      </c>
      <c r="I684" s="255"/>
      <c r="J684" s="255"/>
      <c r="K684" s="255">
        <f>600+táj2!K684</f>
        <v>600</v>
      </c>
      <c r="L684" s="255"/>
      <c r="M684" s="255"/>
      <c r="N684" s="255"/>
      <c r="O684" s="255"/>
      <c r="P684" s="255"/>
      <c r="Q684" s="243">
        <f t="shared" si="58"/>
        <v>5000</v>
      </c>
    </row>
    <row r="685" spans="1:17" ht="17.100000000000001" customHeight="1" x14ac:dyDescent="0.25">
      <c r="A685" s="251"/>
      <c r="B685" s="251"/>
      <c r="C685" s="252"/>
      <c r="D685" s="681" t="s">
        <v>1258</v>
      </c>
      <c r="E685" s="638">
        <v>2</v>
      </c>
      <c r="F685" s="638">
        <v>191139</v>
      </c>
      <c r="G685" s="570"/>
      <c r="H685" s="255"/>
      <c r="I685" s="255">
        <f>0+táj2!I685</f>
        <v>3810</v>
      </c>
      <c r="J685" s="255"/>
      <c r="K685" s="255">
        <f>3810+táj2!K685</f>
        <v>0</v>
      </c>
      <c r="L685" s="255"/>
      <c r="M685" s="255"/>
      <c r="N685" s="255"/>
      <c r="O685" s="255"/>
      <c r="P685" s="255"/>
      <c r="Q685" s="243">
        <f t="shared" si="58"/>
        <v>3810</v>
      </c>
    </row>
    <row r="686" spans="1:17" ht="17.100000000000001" customHeight="1" x14ac:dyDescent="0.25">
      <c r="A686" s="251"/>
      <c r="B686" s="251"/>
      <c r="C686" s="252"/>
      <c r="D686" s="186" t="s">
        <v>1312</v>
      </c>
      <c r="E686" s="151">
        <v>2</v>
      </c>
      <c r="F686" s="268">
        <v>221963</v>
      </c>
      <c r="G686" s="255"/>
      <c r="H686" s="255"/>
      <c r="I686" s="255"/>
      <c r="J686" s="255"/>
      <c r="K686" s="255">
        <f>2500+táj2!K686</f>
        <v>2500</v>
      </c>
      <c r="L686" s="255"/>
      <c r="M686" s="255"/>
      <c r="N686" s="255"/>
      <c r="O686" s="255"/>
      <c r="P686" s="255"/>
      <c r="Q686" s="243">
        <f t="shared" si="58"/>
        <v>2500</v>
      </c>
    </row>
    <row r="687" spans="1:17" ht="17.100000000000001" customHeight="1" x14ac:dyDescent="0.25">
      <c r="A687" s="251"/>
      <c r="B687" s="251"/>
      <c r="C687" s="252"/>
      <c r="D687" s="186" t="s">
        <v>823</v>
      </c>
      <c r="E687" s="183"/>
      <c r="F687" s="623"/>
      <c r="G687" s="255"/>
      <c r="H687" s="255"/>
      <c r="I687" s="255"/>
      <c r="J687" s="255"/>
      <c r="K687" s="255"/>
      <c r="L687" s="255"/>
      <c r="M687" s="255"/>
      <c r="N687" s="255"/>
      <c r="O687" s="255"/>
      <c r="P687" s="255"/>
      <c r="Q687" s="243"/>
    </row>
    <row r="688" spans="1:17" ht="17.100000000000001" customHeight="1" x14ac:dyDescent="0.25">
      <c r="A688" s="251"/>
      <c r="B688" s="251"/>
      <c r="C688" s="252"/>
      <c r="D688" s="186" t="s">
        <v>824</v>
      </c>
      <c r="E688" s="151">
        <v>2</v>
      </c>
      <c r="F688" s="268">
        <v>191301</v>
      </c>
      <c r="G688" s="255"/>
      <c r="H688" s="255"/>
      <c r="I688" s="255"/>
      <c r="J688" s="255"/>
      <c r="K688" s="255">
        <f>42000+táj2!K688</f>
        <v>42000</v>
      </c>
      <c r="L688" s="255"/>
      <c r="M688" s="255"/>
      <c r="N688" s="255"/>
      <c r="O688" s="255"/>
      <c r="P688" s="255"/>
      <c r="Q688" s="243">
        <f>SUM(G688:P688)</f>
        <v>42000</v>
      </c>
    </row>
    <row r="689" spans="1:17" ht="17.100000000000001" customHeight="1" x14ac:dyDescent="0.25">
      <c r="A689" s="199"/>
      <c r="B689" s="199"/>
      <c r="C689" s="217"/>
      <c r="D689" s="186" t="s">
        <v>825</v>
      </c>
      <c r="E689" s="151">
        <v>2</v>
      </c>
      <c r="F689" s="268">
        <v>191302</v>
      </c>
      <c r="G689" s="192"/>
      <c r="H689" s="192"/>
      <c r="I689" s="255">
        <f>10000+táj2!I689</f>
        <v>10000</v>
      </c>
      <c r="J689" s="255"/>
      <c r="K689" s="255"/>
      <c r="L689" s="192"/>
      <c r="M689" s="192"/>
      <c r="N689" s="192"/>
      <c r="O689" s="192"/>
      <c r="P689" s="192"/>
      <c r="Q689" s="151">
        <f>SUM(G689:P689)</f>
        <v>10000</v>
      </c>
    </row>
    <row r="690" spans="1:17" ht="17.100000000000001" customHeight="1" x14ac:dyDescent="0.25">
      <c r="A690" s="251"/>
      <c r="B690" s="251"/>
      <c r="C690" s="252"/>
      <c r="D690" s="432" t="s">
        <v>239</v>
      </c>
      <c r="E690" s="192"/>
      <c r="F690" s="268"/>
      <c r="G690" s="255"/>
      <c r="H690" s="255"/>
      <c r="I690" s="255"/>
      <c r="J690" s="255"/>
      <c r="K690" s="255"/>
      <c r="L690" s="255"/>
      <c r="M690" s="255"/>
      <c r="N690" s="255"/>
      <c r="O690" s="255"/>
      <c r="P690" s="255"/>
      <c r="Q690" s="243"/>
    </row>
    <row r="691" spans="1:17" ht="17.100000000000001" customHeight="1" x14ac:dyDescent="0.25">
      <c r="A691" s="251"/>
      <c r="B691" s="251"/>
      <c r="C691" s="252"/>
      <c r="D691" s="193" t="s">
        <v>826</v>
      </c>
      <c r="E691" s="214">
        <v>2</v>
      </c>
      <c r="F691" s="460">
        <v>221951</v>
      </c>
      <c r="G691" s="255"/>
      <c r="H691" s="255"/>
      <c r="I691" s="255"/>
      <c r="J691" s="255"/>
      <c r="K691" s="255">
        <f>25200+táj2!K691</f>
        <v>24100</v>
      </c>
      <c r="L691" s="255"/>
      <c r="M691" s="255"/>
      <c r="N691" s="255">
        <f>0+táj2!N691</f>
        <v>1100</v>
      </c>
      <c r="O691" s="255"/>
      <c r="P691" s="255"/>
      <c r="Q691" s="243">
        <f>SUM(G691:P691)</f>
        <v>25200</v>
      </c>
    </row>
    <row r="692" spans="1:17" ht="17.100000000000001" customHeight="1" x14ac:dyDescent="0.25">
      <c r="A692" s="251"/>
      <c r="B692" s="251"/>
      <c r="C692" s="256"/>
      <c r="D692" s="433" t="s">
        <v>827</v>
      </c>
      <c r="E692" s="192">
        <v>2</v>
      </c>
      <c r="F692" s="268" t="s">
        <v>828</v>
      </c>
      <c r="G692" s="255"/>
      <c r="H692" s="255"/>
      <c r="I692" s="255">
        <f>66632+táj2!I692</f>
        <v>66632</v>
      </c>
      <c r="J692" s="255"/>
      <c r="K692" s="255"/>
      <c r="L692" s="255"/>
      <c r="M692" s="255"/>
      <c r="N692" s="255"/>
      <c r="O692" s="255"/>
      <c r="P692" s="255"/>
      <c r="Q692" s="243">
        <f>SUM(G692:P692)</f>
        <v>66632</v>
      </c>
    </row>
    <row r="693" spans="1:17" ht="17.100000000000001" customHeight="1" x14ac:dyDescent="0.25">
      <c r="A693" s="251"/>
      <c r="B693" s="251"/>
      <c r="C693" s="434"/>
      <c r="D693" s="433" t="s">
        <v>1091</v>
      </c>
      <c r="E693" s="192">
        <v>2</v>
      </c>
      <c r="F693" s="268">
        <v>221969</v>
      </c>
      <c r="G693" s="255"/>
      <c r="H693" s="255"/>
      <c r="I693" s="255"/>
      <c r="J693" s="255"/>
      <c r="K693" s="255">
        <f>17400+táj2!K693</f>
        <v>17400</v>
      </c>
      <c r="L693" s="255"/>
      <c r="M693" s="255"/>
      <c r="N693" s="255"/>
      <c r="O693" s="255"/>
      <c r="P693" s="255"/>
      <c r="Q693" s="243">
        <f t="shared" ref="Q693" si="59">SUM(G693:P693)</f>
        <v>17400</v>
      </c>
    </row>
    <row r="694" spans="1:17" ht="17.100000000000001" customHeight="1" x14ac:dyDescent="0.25">
      <c r="A694" s="251"/>
      <c r="B694" s="251"/>
      <c r="C694" s="252"/>
      <c r="D694" s="185" t="s">
        <v>829</v>
      </c>
      <c r="E694" s="192"/>
      <c r="F694" s="151"/>
      <c r="G694" s="255"/>
      <c r="H694" s="255"/>
      <c r="I694" s="255"/>
      <c r="J694" s="255"/>
      <c r="K694" s="255"/>
      <c r="L694" s="255"/>
      <c r="M694" s="255"/>
      <c r="N694" s="255"/>
      <c r="O694" s="255"/>
      <c r="P694" s="255"/>
      <c r="Q694" s="243"/>
    </row>
    <row r="695" spans="1:17" ht="17.100000000000001" customHeight="1" x14ac:dyDescent="0.25">
      <c r="A695" s="251"/>
      <c r="B695" s="251"/>
      <c r="C695" s="252"/>
      <c r="D695" s="185" t="s">
        <v>830</v>
      </c>
      <c r="E695" s="192">
        <v>2</v>
      </c>
      <c r="F695" s="151">
        <v>221929</v>
      </c>
      <c r="G695" s="255"/>
      <c r="H695" s="255"/>
      <c r="I695" s="255"/>
      <c r="J695" s="255"/>
      <c r="K695" s="255">
        <f>12544+táj2!K695</f>
        <v>12544</v>
      </c>
      <c r="L695" s="255"/>
      <c r="M695" s="255"/>
      <c r="N695" s="255"/>
      <c r="O695" s="255"/>
      <c r="P695" s="255"/>
      <c r="Q695" s="243">
        <f>SUM(G695:P695)</f>
        <v>12544</v>
      </c>
    </row>
    <row r="696" spans="1:17" ht="17.100000000000001" customHeight="1" x14ac:dyDescent="0.25">
      <c r="A696" s="251"/>
      <c r="B696" s="251"/>
      <c r="C696" s="434"/>
      <c r="D696" s="185" t="s">
        <v>831</v>
      </c>
      <c r="E696" s="192">
        <v>2</v>
      </c>
      <c r="F696" s="151">
        <v>191402</v>
      </c>
      <c r="G696" s="255"/>
      <c r="H696" s="255"/>
      <c r="I696" s="255"/>
      <c r="J696" s="255"/>
      <c r="K696" s="255">
        <f>11500+táj2!K696</f>
        <v>11500</v>
      </c>
      <c r="L696" s="255"/>
      <c r="M696" s="255"/>
      <c r="N696" s="255"/>
      <c r="O696" s="255"/>
      <c r="P696" s="255"/>
      <c r="Q696" s="243">
        <f>SUM(G696:P696)</f>
        <v>11500</v>
      </c>
    </row>
    <row r="697" spans="1:17" ht="17.100000000000001" customHeight="1" x14ac:dyDescent="0.25">
      <c r="A697" s="251"/>
      <c r="B697" s="251"/>
      <c r="C697" s="434"/>
      <c r="D697" s="185" t="s">
        <v>832</v>
      </c>
      <c r="E697" s="192"/>
      <c r="F697" s="151"/>
      <c r="G697" s="255"/>
      <c r="H697" s="255"/>
      <c r="I697" s="255"/>
      <c r="J697" s="255"/>
      <c r="K697" s="255"/>
      <c r="L697" s="255"/>
      <c r="M697" s="255"/>
      <c r="N697" s="255"/>
      <c r="O697" s="255"/>
      <c r="P697" s="255"/>
      <c r="Q697" s="243"/>
    </row>
    <row r="698" spans="1:17" ht="17.100000000000001" customHeight="1" x14ac:dyDescent="0.25">
      <c r="A698" s="251"/>
      <c r="B698" s="251"/>
      <c r="C698" s="434"/>
      <c r="D698" s="185" t="s">
        <v>833</v>
      </c>
      <c r="E698" s="192">
        <v>1</v>
      </c>
      <c r="F698" s="151">
        <v>221909</v>
      </c>
      <c r="G698" s="255"/>
      <c r="H698" s="255"/>
      <c r="I698" s="255"/>
      <c r="J698" s="255"/>
      <c r="K698" s="255">
        <f>19422+táj2!K698</f>
        <v>19422</v>
      </c>
      <c r="L698" s="255"/>
      <c r="M698" s="255"/>
      <c r="N698" s="255"/>
      <c r="O698" s="255"/>
      <c r="P698" s="255"/>
      <c r="Q698" s="243">
        <f>SUM(G698:P698)</f>
        <v>19422</v>
      </c>
    </row>
    <row r="699" spans="1:17" ht="17.100000000000001" customHeight="1" x14ac:dyDescent="0.25">
      <c r="A699" s="251"/>
      <c r="B699" s="251"/>
      <c r="C699" s="252"/>
      <c r="D699" s="185" t="s">
        <v>834</v>
      </c>
      <c r="E699" s="192">
        <v>1</v>
      </c>
      <c r="F699" s="151">
        <v>221913</v>
      </c>
      <c r="G699" s="255"/>
      <c r="H699" s="255"/>
      <c r="I699" s="255">
        <f>16986+táj2!I699</f>
        <v>16986</v>
      </c>
      <c r="J699" s="255"/>
      <c r="K699" s="255"/>
      <c r="L699" s="255"/>
      <c r="M699" s="255"/>
      <c r="N699" s="255"/>
      <c r="O699" s="255"/>
      <c r="P699" s="255"/>
      <c r="Q699" s="243">
        <f>SUM(G699:P699)</f>
        <v>16986</v>
      </c>
    </row>
    <row r="700" spans="1:17" ht="17.100000000000001" customHeight="1" x14ac:dyDescent="0.25">
      <c r="A700" s="251"/>
      <c r="B700" s="251"/>
      <c r="C700" s="252"/>
      <c r="D700" s="185" t="s">
        <v>944</v>
      </c>
      <c r="E700" s="192">
        <v>1</v>
      </c>
      <c r="F700" s="151">
        <v>221962</v>
      </c>
      <c r="G700" s="255"/>
      <c r="H700" s="255"/>
      <c r="I700" s="255"/>
      <c r="J700" s="255"/>
      <c r="K700" s="255">
        <f>44379+táj2!K700</f>
        <v>50679</v>
      </c>
      <c r="L700" s="255"/>
      <c r="M700" s="255"/>
      <c r="N700" s="255"/>
      <c r="O700" s="255"/>
      <c r="P700" s="255"/>
      <c r="Q700" s="243">
        <f>SUM(G700:P700)</f>
        <v>50679</v>
      </c>
    </row>
    <row r="701" spans="1:17" ht="17.100000000000001" customHeight="1" x14ac:dyDescent="0.25">
      <c r="A701" s="251"/>
      <c r="B701" s="251"/>
      <c r="C701" s="252"/>
      <c r="D701" s="205" t="s">
        <v>835</v>
      </c>
      <c r="E701" s="192">
        <v>2</v>
      </c>
      <c r="F701" s="200">
        <v>221955</v>
      </c>
      <c r="G701" s="255"/>
      <c r="H701" s="255"/>
      <c r="I701" s="255">
        <f>3785+táj2!I701</f>
        <v>3785</v>
      </c>
      <c r="J701" s="255"/>
      <c r="K701" s="255"/>
      <c r="L701" s="255"/>
      <c r="M701" s="255"/>
      <c r="N701" s="255"/>
      <c r="O701" s="255"/>
      <c r="P701" s="255"/>
      <c r="Q701" s="243">
        <f>SUM(G701:P701)</f>
        <v>3785</v>
      </c>
    </row>
    <row r="702" spans="1:17" ht="17.100000000000001" customHeight="1" x14ac:dyDescent="0.25">
      <c r="A702" s="251"/>
      <c r="B702" s="251"/>
      <c r="C702" s="252"/>
      <c r="D702" s="186" t="s">
        <v>836</v>
      </c>
      <c r="E702" s="183"/>
      <c r="F702" s="183"/>
      <c r="G702" s="255"/>
      <c r="H702" s="255"/>
      <c r="I702" s="255"/>
      <c r="J702" s="255"/>
      <c r="K702" s="255"/>
      <c r="L702" s="255"/>
      <c r="M702" s="255"/>
      <c r="N702" s="255"/>
      <c r="O702" s="255"/>
      <c r="P702" s="255"/>
      <c r="Q702" s="151"/>
    </row>
    <row r="703" spans="1:17" ht="14.25" customHeight="1" x14ac:dyDescent="0.25">
      <c r="A703" s="251"/>
      <c r="B703" s="251"/>
      <c r="C703" s="252"/>
      <c r="D703" s="186" t="s">
        <v>837</v>
      </c>
      <c r="E703" s="151">
        <v>2</v>
      </c>
      <c r="F703" s="151">
        <v>191151</v>
      </c>
      <c r="G703" s="255"/>
      <c r="H703" s="255"/>
      <c r="I703" s="255"/>
      <c r="J703" s="255"/>
      <c r="K703" s="255">
        <f>70000+táj2!K703</f>
        <v>70000</v>
      </c>
      <c r="L703" s="255"/>
      <c r="M703" s="255"/>
      <c r="N703" s="255"/>
      <c r="O703" s="255"/>
      <c r="P703" s="255"/>
      <c r="Q703" s="151">
        <f>SUM(G703:P703)</f>
        <v>70000</v>
      </c>
    </row>
    <row r="704" spans="1:17" ht="15.9" customHeight="1" x14ac:dyDescent="0.25">
      <c r="A704" s="251"/>
      <c r="B704" s="251"/>
      <c r="C704" s="252"/>
      <c r="D704" s="186" t="s">
        <v>379</v>
      </c>
      <c r="E704" s="192"/>
      <c r="F704" s="200"/>
      <c r="G704" s="255"/>
      <c r="H704" s="255"/>
      <c r="I704" s="255"/>
      <c r="J704" s="255"/>
      <c r="K704" s="255"/>
      <c r="L704" s="255"/>
      <c r="M704" s="255"/>
      <c r="N704" s="255"/>
      <c r="O704" s="255"/>
      <c r="P704" s="255"/>
      <c r="Q704" s="243"/>
    </row>
    <row r="705" spans="1:17" ht="13.95" customHeight="1" x14ac:dyDescent="0.25">
      <c r="A705" s="251"/>
      <c r="B705" s="251"/>
      <c r="C705" s="252"/>
      <c r="D705" s="193" t="s">
        <v>861</v>
      </c>
      <c r="E705" s="192">
        <v>2</v>
      </c>
      <c r="F705" s="200">
        <v>221942</v>
      </c>
      <c r="G705" s="255"/>
      <c r="H705" s="255"/>
      <c r="I705" s="255">
        <f>10000+táj2!I705</f>
        <v>10000</v>
      </c>
      <c r="J705" s="255"/>
      <c r="K705" s="255"/>
      <c r="L705" s="255"/>
      <c r="M705" s="255"/>
      <c r="N705" s="255"/>
      <c r="O705" s="255"/>
      <c r="P705" s="255"/>
      <c r="Q705" s="243">
        <f t="shared" ref="Q705:Q714" si="60">SUM(G705:P705)</f>
        <v>10000</v>
      </c>
    </row>
    <row r="706" spans="1:17" ht="18.75" customHeight="1" x14ac:dyDescent="0.25">
      <c r="A706" s="251"/>
      <c r="B706" s="251"/>
      <c r="C706" s="252"/>
      <c r="D706" s="193" t="s">
        <v>864</v>
      </c>
      <c r="E706" s="192">
        <v>2</v>
      </c>
      <c r="F706" s="200">
        <v>221961</v>
      </c>
      <c r="G706" s="255"/>
      <c r="H706" s="255"/>
      <c r="I706" s="255">
        <f>4000+táj2!I706</f>
        <v>4000</v>
      </c>
      <c r="J706" s="255"/>
      <c r="K706" s="255"/>
      <c r="L706" s="255"/>
      <c r="M706" s="255"/>
      <c r="N706" s="255"/>
      <c r="O706" s="255"/>
      <c r="P706" s="255"/>
      <c r="Q706" s="243">
        <f t="shared" si="60"/>
        <v>4000</v>
      </c>
    </row>
    <row r="707" spans="1:17" ht="30" customHeight="1" x14ac:dyDescent="0.25">
      <c r="A707" s="251"/>
      <c r="B707" s="251"/>
      <c r="C707" s="252"/>
      <c r="D707" s="193" t="s">
        <v>838</v>
      </c>
      <c r="E707" s="192">
        <v>2</v>
      </c>
      <c r="F707" s="200">
        <v>221910</v>
      </c>
      <c r="G707" s="255"/>
      <c r="H707" s="255"/>
      <c r="I707" s="255"/>
      <c r="J707" s="255"/>
      <c r="K707" s="255">
        <f>10000+táj2!K707</f>
        <v>10000</v>
      </c>
      <c r="L707" s="255"/>
      <c r="M707" s="255"/>
      <c r="N707" s="255"/>
      <c r="O707" s="255"/>
      <c r="P707" s="255"/>
      <c r="Q707" s="243">
        <f t="shared" si="60"/>
        <v>10000</v>
      </c>
    </row>
    <row r="708" spans="1:17" ht="16.5" customHeight="1" x14ac:dyDescent="0.25">
      <c r="A708" s="251"/>
      <c r="B708" s="251"/>
      <c r="C708" s="252"/>
      <c r="D708" s="510" t="s">
        <v>945</v>
      </c>
      <c r="E708" s="183">
        <v>2</v>
      </c>
      <c r="F708" s="151">
        <v>121518</v>
      </c>
      <c r="G708" s="255"/>
      <c r="H708" s="255"/>
      <c r="I708" s="255"/>
      <c r="J708" s="255"/>
      <c r="K708" s="255">
        <f>1500+táj2!K708</f>
        <v>1500</v>
      </c>
      <c r="L708" s="255"/>
      <c r="M708" s="255"/>
      <c r="N708" s="255"/>
      <c r="O708" s="255"/>
      <c r="P708" s="255"/>
      <c r="Q708" s="243">
        <f t="shared" si="60"/>
        <v>1500</v>
      </c>
    </row>
    <row r="709" spans="1:17" ht="16.5" customHeight="1" x14ac:dyDescent="0.25">
      <c r="A709" s="517"/>
      <c r="B709" s="517"/>
      <c r="C709" s="598"/>
      <c r="D709" s="510" t="s">
        <v>1196</v>
      </c>
      <c r="E709" s="509">
        <v>2</v>
      </c>
      <c r="F709" s="585">
        <v>221970</v>
      </c>
      <c r="G709" s="519"/>
      <c r="H709" s="519"/>
      <c r="I709" s="519"/>
      <c r="J709" s="519"/>
      <c r="K709" s="255">
        <f>500+táj2!K709</f>
        <v>500</v>
      </c>
      <c r="L709" s="519"/>
      <c r="M709" s="519"/>
      <c r="N709" s="519"/>
      <c r="O709" s="519"/>
      <c r="P709" s="519"/>
      <c r="Q709" s="243">
        <f t="shared" si="60"/>
        <v>500</v>
      </c>
    </row>
    <row r="710" spans="1:17" ht="16.5" customHeight="1" x14ac:dyDescent="0.25">
      <c r="A710" s="517"/>
      <c r="B710" s="517"/>
      <c r="C710" s="598"/>
      <c r="D710" s="510" t="s">
        <v>1199</v>
      </c>
      <c r="E710" s="509">
        <v>2</v>
      </c>
      <c r="F710" s="585">
        <v>221971</v>
      </c>
      <c r="G710" s="519"/>
      <c r="H710" s="519"/>
      <c r="I710" s="519"/>
      <c r="J710" s="519"/>
      <c r="K710" s="255">
        <f>500+táj2!K710</f>
        <v>500</v>
      </c>
      <c r="L710" s="519"/>
      <c r="M710" s="519"/>
      <c r="N710" s="519"/>
      <c r="O710" s="519"/>
      <c r="P710" s="519"/>
      <c r="Q710" s="599">
        <f t="shared" si="60"/>
        <v>500</v>
      </c>
    </row>
    <row r="711" spans="1:17" ht="16.5" customHeight="1" x14ac:dyDescent="0.25">
      <c r="A711" s="594"/>
      <c r="B711" s="594"/>
      <c r="C711" s="595"/>
      <c r="D711" s="510" t="s">
        <v>1195</v>
      </c>
      <c r="E711" s="596">
        <v>2</v>
      </c>
      <c r="F711" s="562">
        <v>221931</v>
      </c>
      <c r="G711" s="597"/>
      <c r="H711" s="597"/>
      <c r="I711" s="597"/>
      <c r="J711" s="597"/>
      <c r="K711" s="255">
        <f>400+táj2!K711</f>
        <v>400</v>
      </c>
      <c r="L711" s="597"/>
      <c r="M711" s="597"/>
      <c r="N711" s="597"/>
      <c r="O711" s="597"/>
      <c r="P711" s="597"/>
      <c r="Q711" s="243">
        <f t="shared" si="60"/>
        <v>400</v>
      </c>
    </row>
    <row r="712" spans="1:17" ht="16.5" customHeight="1" x14ac:dyDescent="0.25">
      <c r="A712" s="517"/>
      <c r="B712" s="517"/>
      <c r="C712" s="595"/>
      <c r="D712" s="510" t="s">
        <v>1105</v>
      </c>
      <c r="E712" s="509">
        <v>2</v>
      </c>
      <c r="F712" s="518">
        <v>221965</v>
      </c>
      <c r="G712" s="255">
        <f>1200+táj2!G712</f>
        <v>1200</v>
      </c>
      <c r="H712" s="255">
        <f>476+táj2!H712</f>
        <v>476</v>
      </c>
      <c r="I712" s="255">
        <f>324+táj2!I712</f>
        <v>324</v>
      </c>
      <c r="J712" s="255"/>
      <c r="K712" s="255"/>
      <c r="L712" s="519"/>
      <c r="M712" s="519"/>
      <c r="N712" s="519"/>
      <c r="O712" s="519"/>
      <c r="P712" s="519"/>
      <c r="Q712" s="243">
        <f t="shared" si="60"/>
        <v>2000</v>
      </c>
    </row>
    <row r="713" spans="1:17" ht="16.5" customHeight="1" x14ac:dyDescent="0.25">
      <c r="A713" s="769"/>
      <c r="B713" s="769"/>
      <c r="C713" s="770"/>
      <c r="D713" s="681" t="s">
        <v>1307</v>
      </c>
      <c r="E713" s="771"/>
      <c r="F713" s="640"/>
      <c r="G713" s="772"/>
      <c r="H713" s="772"/>
      <c r="I713" s="255"/>
      <c r="J713" s="772"/>
      <c r="K713" s="772"/>
      <c r="L713" s="772"/>
      <c r="M713" s="772"/>
      <c r="N713" s="772"/>
      <c r="O713" s="772"/>
      <c r="P713" s="772"/>
      <c r="Q713" s="243"/>
    </row>
    <row r="714" spans="1:17" ht="16.5" customHeight="1" x14ac:dyDescent="0.25">
      <c r="A714" s="769"/>
      <c r="B714" s="769"/>
      <c r="C714" s="770"/>
      <c r="D714" s="764" t="s">
        <v>1308</v>
      </c>
      <c r="E714" s="771">
        <v>2</v>
      </c>
      <c r="F714" s="640">
        <v>221972</v>
      </c>
      <c r="G714" s="772"/>
      <c r="H714" s="772"/>
      <c r="I714" s="255">
        <f>0+táj2!I714</f>
        <v>10000</v>
      </c>
      <c r="J714" s="772"/>
      <c r="K714" s="772"/>
      <c r="L714" s="772"/>
      <c r="M714" s="772"/>
      <c r="N714" s="772"/>
      <c r="O714" s="772"/>
      <c r="P714" s="772"/>
      <c r="Q714" s="243">
        <f t="shared" si="60"/>
        <v>10000</v>
      </c>
    </row>
    <row r="715" spans="1:17" ht="14.1" customHeight="1" x14ac:dyDescent="0.25">
      <c r="A715" s="194"/>
      <c r="B715" s="194"/>
      <c r="C715" s="483"/>
      <c r="D715" s="484" t="s">
        <v>839</v>
      </c>
      <c r="E715" s="485"/>
      <c r="F715" s="486"/>
      <c r="G715" s="257">
        <f>SUM(G674:G714)</f>
        <v>37195</v>
      </c>
      <c r="H715" s="257">
        <f t="shared" ref="H715:Q715" si="61">SUM(H674:H714)</f>
        <v>13001</v>
      </c>
      <c r="I715" s="257">
        <f t="shared" si="61"/>
        <v>198138</v>
      </c>
      <c r="J715" s="257">
        <f t="shared" si="61"/>
        <v>0</v>
      </c>
      <c r="K715" s="257">
        <f t="shared" si="61"/>
        <v>342595</v>
      </c>
      <c r="L715" s="257">
        <f t="shared" si="61"/>
        <v>0</v>
      </c>
      <c r="M715" s="257">
        <f t="shared" si="61"/>
        <v>0</v>
      </c>
      <c r="N715" s="257">
        <f t="shared" si="61"/>
        <v>1100</v>
      </c>
      <c r="O715" s="257">
        <f t="shared" si="61"/>
        <v>0</v>
      </c>
      <c r="P715" s="257">
        <f t="shared" si="61"/>
        <v>0</v>
      </c>
      <c r="Q715" s="257">
        <f t="shared" si="61"/>
        <v>592029</v>
      </c>
    </row>
    <row r="716" spans="1:17" ht="14.1" customHeight="1" x14ac:dyDescent="0.25">
      <c r="A716" s="199"/>
      <c r="B716" s="199"/>
      <c r="C716" s="199"/>
      <c r="D716" s="487" t="s">
        <v>840</v>
      </c>
      <c r="E716" s="488"/>
      <c r="F716" s="489"/>
      <c r="G716" s="220"/>
      <c r="H716" s="220"/>
      <c r="I716" s="220"/>
      <c r="J716" s="220"/>
      <c r="K716" s="220"/>
      <c r="L716" s="220"/>
      <c r="M716" s="220"/>
      <c r="N716" s="220"/>
      <c r="O716" s="220"/>
      <c r="P716" s="220"/>
      <c r="Q716" s="220"/>
    </row>
    <row r="717" spans="1:17" ht="18" customHeight="1" x14ac:dyDescent="0.25">
      <c r="A717" s="199"/>
      <c r="B717" s="199"/>
      <c r="C717" s="490" t="s">
        <v>92</v>
      </c>
      <c r="D717" s="880" t="s">
        <v>1121</v>
      </c>
      <c r="E717" s="881"/>
      <c r="F717" s="624">
        <v>222928</v>
      </c>
      <c r="G717" s="255"/>
      <c r="H717" s="255"/>
      <c r="I717" s="570"/>
      <c r="J717" s="255"/>
      <c r="K717" s="255"/>
      <c r="L717" s="570">
        <f>13000+táj2!L717</f>
        <v>13000</v>
      </c>
      <c r="M717" s="255"/>
      <c r="N717" s="255"/>
      <c r="O717" s="255"/>
      <c r="P717" s="255"/>
      <c r="Q717" s="243">
        <f t="shared" ref="Q717:Q718" si="62">SUM(G717:P717)</f>
        <v>13000</v>
      </c>
    </row>
    <row r="718" spans="1:17" ht="23.4" customHeight="1" x14ac:dyDescent="0.25">
      <c r="A718" s="757"/>
      <c r="B718" s="757"/>
      <c r="C718" s="758" t="s">
        <v>91</v>
      </c>
      <c r="D718" s="774" t="s">
        <v>1309</v>
      </c>
      <c r="E718" s="775"/>
      <c r="F718" s="653">
        <v>222930</v>
      </c>
      <c r="G718" s="772"/>
      <c r="H718" s="772"/>
      <c r="I718" s="773"/>
      <c r="J718" s="772"/>
      <c r="K718" s="772"/>
      <c r="L718" s="570"/>
      <c r="M718" s="570"/>
      <c r="N718" s="570">
        <f>0+táj2!N718</f>
        <v>10000</v>
      </c>
      <c r="O718" s="772"/>
      <c r="P718" s="772"/>
      <c r="Q718" s="243">
        <f t="shared" si="62"/>
        <v>10000</v>
      </c>
    </row>
    <row r="719" spans="1:17" ht="18" customHeight="1" x14ac:dyDescent="0.25">
      <c r="A719" s="199"/>
      <c r="B719" s="199"/>
      <c r="C719" s="199"/>
      <c r="D719" s="492" t="s">
        <v>1026</v>
      </c>
      <c r="E719" s="488"/>
      <c r="F719" s="489"/>
      <c r="G719" s="192"/>
      <c r="H719" s="192"/>
      <c r="I719" s="192"/>
      <c r="J719" s="192"/>
      <c r="K719" s="192"/>
      <c r="L719" s="570"/>
      <c r="M719" s="192"/>
      <c r="N719" s="192"/>
      <c r="O719" s="192"/>
      <c r="P719" s="192"/>
      <c r="Q719" s="192"/>
    </row>
    <row r="720" spans="1:17" ht="17.399999999999999" customHeight="1" x14ac:dyDescent="0.25">
      <c r="A720" s="199"/>
      <c r="B720" s="199"/>
      <c r="C720" s="233" t="s">
        <v>841</v>
      </c>
      <c r="D720" s="493" t="s">
        <v>842</v>
      </c>
      <c r="E720" s="488"/>
      <c r="F720" s="492">
        <v>222902</v>
      </c>
      <c r="G720" s="192"/>
      <c r="H720" s="192"/>
      <c r="I720" s="570">
        <f>0+táj2!I720</f>
        <v>900</v>
      </c>
      <c r="J720" s="570"/>
      <c r="K720" s="570"/>
      <c r="L720" s="570">
        <f>762+táj2!L720</f>
        <v>0</v>
      </c>
      <c r="M720" s="192"/>
      <c r="N720" s="192"/>
      <c r="O720" s="192"/>
      <c r="P720" s="192"/>
      <c r="Q720" s="192">
        <f t="shared" ref="Q720" si="63">SUM(I720:P720)</f>
        <v>900</v>
      </c>
    </row>
    <row r="721" spans="1:17" ht="18" customHeight="1" x14ac:dyDescent="0.25">
      <c r="A721" s="194"/>
      <c r="B721" s="194"/>
      <c r="C721" s="483"/>
      <c r="D721" s="494" t="s">
        <v>843</v>
      </c>
      <c r="E721" s="485"/>
      <c r="F721" s="486"/>
      <c r="G721" s="257">
        <f t="shared" ref="G721:Q721" si="64">SUM(G715:G720)</f>
        <v>37195</v>
      </c>
      <c r="H721" s="257">
        <f t="shared" si="64"/>
        <v>13001</v>
      </c>
      <c r="I721" s="257">
        <f t="shared" si="64"/>
        <v>199038</v>
      </c>
      <c r="J721" s="257">
        <f t="shared" si="64"/>
        <v>0</v>
      </c>
      <c r="K721" s="257">
        <f t="shared" si="64"/>
        <v>342595</v>
      </c>
      <c r="L721" s="257">
        <f t="shared" si="64"/>
        <v>13000</v>
      </c>
      <c r="M721" s="257">
        <f t="shared" si="64"/>
        <v>0</v>
      </c>
      <c r="N721" s="257">
        <f t="shared" si="64"/>
        <v>11100</v>
      </c>
      <c r="O721" s="257">
        <f t="shared" si="64"/>
        <v>0</v>
      </c>
      <c r="P721" s="257">
        <f t="shared" si="64"/>
        <v>0</v>
      </c>
      <c r="Q721" s="257">
        <f t="shared" si="64"/>
        <v>615929</v>
      </c>
    </row>
    <row r="722" spans="1:17" ht="18" customHeight="1" x14ac:dyDescent="0.25">
      <c r="A722" s="199">
        <v>1</v>
      </c>
      <c r="B722" s="199">
        <v>30</v>
      </c>
      <c r="C722" s="495"/>
      <c r="D722" s="496" t="s">
        <v>844</v>
      </c>
      <c r="E722" s="491"/>
      <c r="F722" s="491"/>
      <c r="G722" s="151"/>
      <c r="H722" s="177"/>
      <c r="I722" s="177"/>
      <c r="J722" s="177"/>
      <c r="K722" s="177"/>
      <c r="L722" s="177"/>
      <c r="M722" s="151"/>
      <c r="N722" s="151"/>
      <c r="O722" s="151"/>
      <c r="P722" s="151"/>
      <c r="Q722" s="151"/>
    </row>
    <row r="723" spans="1:17" ht="15.6" customHeight="1" x14ac:dyDescent="0.25">
      <c r="A723" s="199"/>
      <c r="B723" s="199">
        <v>31</v>
      </c>
      <c r="C723" s="495"/>
      <c r="D723" s="496" t="s">
        <v>845</v>
      </c>
      <c r="E723" s="151">
        <v>1</v>
      </c>
      <c r="F723" s="491">
        <v>311901</v>
      </c>
      <c r="G723" s="192"/>
      <c r="H723" s="192"/>
      <c r="I723" s="192"/>
      <c r="J723" s="192"/>
      <c r="K723" s="192">
        <f>10000+táj2!K723</f>
        <v>7000</v>
      </c>
      <c r="L723" s="192"/>
      <c r="M723" s="192"/>
      <c r="N723" s="192"/>
      <c r="O723" s="192"/>
      <c r="P723" s="192"/>
      <c r="Q723" s="151">
        <f>SUM(K723:P723)</f>
        <v>7000</v>
      </c>
    </row>
    <row r="724" spans="1:17" ht="15" customHeight="1" x14ac:dyDescent="0.25">
      <c r="A724" s="172"/>
      <c r="B724" s="172">
        <v>32</v>
      </c>
      <c r="C724" s="490"/>
      <c r="D724" s="496" t="s">
        <v>846</v>
      </c>
      <c r="E724" s="151"/>
      <c r="F724" s="491"/>
      <c r="G724" s="192"/>
      <c r="H724" s="177"/>
      <c r="I724" s="177"/>
      <c r="J724" s="177"/>
      <c r="K724" s="192"/>
      <c r="L724" s="177"/>
      <c r="M724" s="192"/>
      <c r="N724" s="192"/>
      <c r="O724" s="151"/>
      <c r="P724" s="151"/>
      <c r="Q724" s="151"/>
    </row>
    <row r="725" spans="1:17" ht="18" customHeight="1" x14ac:dyDescent="0.25">
      <c r="A725" s="172"/>
      <c r="B725" s="172"/>
      <c r="C725" s="490"/>
      <c r="D725" s="492" t="s">
        <v>946</v>
      </c>
      <c r="E725" s="151">
        <v>1</v>
      </c>
      <c r="F725" s="151">
        <v>321907</v>
      </c>
      <c r="G725" s="192"/>
      <c r="H725" s="192"/>
      <c r="I725" s="192"/>
      <c r="J725" s="192"/>
      <c r="K725" s="192">
        <f>28552+táj2!K725</f>
        <v>28552</v>
      </c>
      <c r="L725" s="192"/>
      <c r="M725" s="192"/>
      <c r="N725" s="192"/>
      <c r="O725" s="192"/>
      <c r="P725" s="192"/>
      <c r="Q725" s="151">
        <f t="shared" ref="Q725:Q731" si="65">SUM(K725:P725)</f>
        <v>28552</v>
      </c>
    </row>
    <row r="726" spans="1:17" ht="17.25" customHeight="1" x14ac:dyDescent="0.25">
      <c r="A726" s="435"/>
      <c r="B726" s="435"/>
      <c r="C726" s="435"/>
      <c r="D726" s="685" t="s">
        <v>847</v>
      </c>
      <c r="E726" s="258">
        <v>1</v>
      </c>
      <c r="F726" s="259">
        <v>321903</v>
      </c>
      <c r="G726" s="192"/>
      <c r="H726" s="192"/>
      <c r="I726" s="192"/>
      <c r="J726" s="192"/>
      <c r="K726" s="192">
        <f>50000+táj2!K726</f>
        <v>50000</v>
      </c>
      <c r="L726" s="192"/>
      <c r="M726" s="192"/>
      <c r="N726" s="192"/>
      <c r="O726" s="192"/>
      <c r="P726" s="192"/>
      <c r="Q726" s="151">
        <f t="shared" si="65"/>
        <v>50000</v>
      </c>
    </row>
    <row r="727" spans="1:17" ht="18" customHeight="1" x14ac:dyDescent="0.25">
      <c r="A727" s="172"/>
      <c r="B727" s="172"/>
      <c r="C727" s="490"/>
      <c r="D727" s="492" t="s">
        <v>848</v>
      </c>
      <c r="E727" s="183">
        <v>1</v>
      </c>
      <c r="F727" s="151">
        <v>321908</v>
      </c>
      <c r="G727" s="192"/>
      <c r="H727" s="192"/>
      <c r="I727" s="192"/>
      <c r="J727" s="192"/>
      <c r="K727" s="192">
        <f>50000+táj2!K727</f>
        <v>24067</v>
      </c>
      <c r="L727" s="192"/>
      <c r="M727" s="192"/>
      <c r="N727" s="192"/>
      <c r="O727" s="192"/>
      <c r="P727" s="192"/>
      <c r="Q727" s="151">
        <f t="shared" si="65"/>
        <v>24067</v>
      </c>
    </row>
    <row r="728" spans="1:17" ht="16.95" customHeight="1" x14ac:dyDescent="0.25">
      <c r="A728" s="172"/>
      <c r="B728" s="172"/>
      <c r="C728" s="490"/>
      <c r="D728" s="431" t="s">
        <v>849</v>
      </c>
      <c r="E728" s="208">
        <v>1</v>
      </c>
      <c r="F728" s="210">
        <v>321933</v>
      </c>
      <c r="G728" s="192"/>
      <c r="H728" s="192"/>
      <c r="I728" s="192"/>
      <c r="J728" s="192"/>
      <c r="K728" s="192">
        <f>332170+táj2!K728</f>
        <v>508470</v>
      </c>
      <c r="L728" s="192"/>
      <c r="M728" s="192"/>
      <c r="N728" s="192"/>
      <c r="O728" s="192"/>
      <c r="P728" s="192"/>
      <c r="Q728" s="151">
        <f t="shared" si="65"/>
        <v>508470</v>
      </c>
    </row>
    <row r="729" spans="1:17" ht="15.6" customHeight="1" x14ac:dyDescent="0.25">
      <c r="A729" s="172"/>
      <c r="B729" s="172"/>
      <c r="C729" s="188"/>
      <c r="D729" s="436" t="s">
        <v>850</v>
      </c>
      <c r="E729" s="208">
        <v>1</v>
      </c>
      <c r="F729" s="210">
        <v>321934</v>
      </c>
      <c r="G729" s="192"/>
      <c r="H729" s="192"/>
      <c r="I729" s="192"/>
      <c r="J729" s="192"/>
      <c r="K729" s="192">
        <f>1800+táj2!K729</f>
        <v>1753</v>
      </c>
      <c r="L729" s="192"/>
      <c r="M729" s="192"/>
      <c r="N729" s="192"/>
      <c r="O729" s="192"/>
      <c r="P729" s="192"/>
      <c r="Q729" s="151">
        <f t="shared" si="65"/>
        <v>1753</v>
      </c>
    </row>
    <row r="730" spans="1:17" ht="18" customHeight="1" x14ac:dyDescent="0.25">
      <c r="A730" s="172"/>
      <c r="B730" s="172"/>
      <c r="C730" s="188"/>
      <c r="D730" s="205" t="s">
        <v>851</v>
      </c>
      <c r="E730" s="208">
        <v>1</v>
      </c>
      <c r="F730" s="210">
        <v>321911</v>
      </c>
      <c r="G730" s="192"/>
      <c r="H730" s="192"/>
      <c r="I730" s="192"/>
      <c r="J730" s="192"/>
      <c r="K730" s="192">
        <f>50000+táj2!K730</f>
        <v>50000</v>
      </c>
      <c r="L730" s="192"/>
      <c r="M730" s="192"/>
      <c r="N730" s="192"/>
      <c r="O730" s="192"/>
      <c r="P730" s="192"/>
      <c r="Q730" s="151">
        <f t="shared" si="65"/>
        <v>50000</v>
      </c>
    </row>
    <row r="731" spans="1:17" ht="18" customHeight="1" x14ac:dyDescent="0.25">
      <c r="A731" s="172"/>
      <c r="B731" s="172"/>
      <c r="C731" s="188"/>
      <c r="D731" s="193" t="s">
        <v>852</v>
      </c>
      <c r="E731" s="208">
        <v>1</v>
      </c>
      <c r="F731" s="210">
        <v>321909</v>
      </c>
      <c r="G731" s="192"/>
      <c r="H731" s="192"/>
      <c r="I731" s="192"/>
      <c r="J731" s="192"/>
      <c r="K731" s="192">
        <f>45000+táj2!K731</f>
        <v>45000</v>
      </c>
      <c r="L731" s="192"/>
      <c r="M731" s="192"/>
      <c r="N731" s="192"/>
      <c r="O731" s="192"/>
      <c r="P731" s="192"/>
      <c r="Q731" s="151">
        <f t="shared" si="65"/>
        <v>45000</v>
      </c>
    </row>
    <row r="732" spans="1:17" ht="16.95" customHeight="1" x14ac:dyDescent="0.25">
      <c r="A732" s="172"/>
      <c r="B732" s="172"/>
      <c r="C732" s="188"/>
      <c r="D732" s="218" t="s">
        <v>853</v>
      </c>
      <c r="E732" s="151"/>
      <c r="F732" s="151"/>
      <c r="G732" s="192"/>
      <c r="H732" s="177"/>
      <c r="I732" s="177"/>
      <c r="J732" s="177"/>
      <c r="K732" s="192"/>
      <c r="L732" s="177"/>
      <c r="M732" s="151"/>
      <c r="N732" s="151"/>
      <c r="O732" s="151"/>
      <c r="P732" s="151"/>
      <c r="Q732" s="151"/>
    </row>
    <row r="733" spans="1:17" ht="18" customHeight="1" x14ac:dyDescent="0.25">
      <c r="A733" s="172"/>
      <c r="B733" s="172"/>
      <c r="C733" s="188" t="s">
        <v>92</v>
      </c>
      <c r="D733" s="437" t="s">
        <v>854</v>
      </c>
      <c r="E733" s="151">
        <v>1</v>
      </c>
      <c r="F733" s="151">
        <v>324902</v>
      </c>
      <c r="G733" s="192"/>
      <c r="H733" s="192"/>
      <c r="I733" s="192"/>
      <c r="J733" s="192"/>
      <c r="K733" s="192"/>
      <c r="L733" s="192"/>
      <c r="M733" s="192">
        <f>10000+táj2!M733</f>
        <v>9680</v>
      </c>
      <c r="N733" s="192"/>
      <c r="O733" s="192"/>
      <c r="P733" s="192"/>
      <c r="Q733" s="151">
        <f>SUM(K733:P733)</f>
        <v>9680</v>
      </c>
    </row>
    <row r="734" spans="1:17" ht="18" customHeight="1" x14ac:dyDescent="0.25">
      <c r="A734" s="507"/>
      <c r="B734" s="507"/>
      <c r="C734" s="508" t="s">
        <v>91</v>
      </c>
      <c r="D734" s="438" t="s">
        <v>947</v>
      </c>
      <c r="E734" s="200">
        <v>1</v>
      </c>
      <c r="F734" s="200">
        <v>322906</v>
      </c>
      <c r="G734" s="511"/>
      <c r="H734" s="511"/>
      <c r="I734" s="511"/>
      <c r="J734" s="511"/>
      <c r="K734" s="192"/>
      <c r="L734" s="192">
        <f>15000+táj2!L734</f>
        <v>11032</v>
      </c>
      <c r="M734" s="511"/>
      <c r="N734" s="511"/>
      <c r="O734" s="511"/>
      <c r="P734" s="511"/>
      <c r="Q734" s="151">
        <f t="shared" ref="Q734" si="66">SUM(K734:P734)</f>
        <v>11032</v>
      </c>
    </row>
    <row r="735" spans="1:17" ht="15.9" customHeight="1" x14ac:dyDescent="0.25">
      <c r="A735" s="194"/>
      <c r="B735" s="194"/>
      <c r="C735" s="195"/>
      <c r="D735" s="196" t="s">
        <v>855</v>
      </c>
      <c r="E735" s="197"/>
      <c r="F735" s="260"/>
      <c r="G735" s="261">
        <f t="shared" ref="G735:Q735" si="67">SUM(G723:G734)</f>
        <v>0</v>
      </c>
      <c r="H735" s="261">
        <f t="shared" si="67"/>
        <v>0</v>
      </c>
      <c r="I735" s="261">
        <f t="shared" si="67"/>
        <v>0</v>
      </c>
      <c r="J735" s="261">
        <f t="shared" si="67"/>
        <v>0</v>
      </c>
      <c r="K735" s="261">
        <f t="shared" si="67"/>
        <v>714842</v>
      </c>
      <c r="L735" s="261">
        <f t="shared" si="67"/>
        <v>11032</v>
      </c>
      <c r="M735" s="261">
        <f t="shared" si="67"/>
        <v>9680</v>
      </c>
      <c r="N735" s="261">
        <f t="shared" si="67"/>
        <v>0</v>
      </c>
      <c r="O735" s="261">
        <f t="shared" si="67"/>
        <v>0</v>
      </c>
      <c r="P735" s="261">
        <f t="shared" si="67"/>
        <v>0</v>
      </c>
      <c r="Q735" s="261">
        <f t="shared" si="67"/>
        <v>735554</v>
      </c>
    </row>
    <row r="736" spans="1:17" ht="21.75" customHeight="1" x14ac:dyDescent="0.25">
      <c r="A736" s="194"/>
      <c r="B736" s="194"/>
      <c r="C736" s="195"/>
      <c r="D736" s="439" t="s">
        <v>856</v>
      </c>
      <c r="E736" s="440"/>
      <c r="F736" s="441"/>
      <c r="G736" s="262">
        <f t="shared" ref="G736:Q736" si="68">SUM(G46+G219+G231+G459+G594+G616+G641+G668+G721+G735+G671)</f>
        <v>261131</v>
      </c>
      <c r="H736" s="262">
        <f t="shared" si="68"/>
        <v>51187</v>
      </c>
      <c r="I736" s="262">
        <f t="shared" si="68"/>
        <v>8152864</v>
      </c>
      <c r="J736" s="262">
        <f t="shared" si="68"/>
        <v>97076</v>
      </c>
      <c r="K736" s="262">
        <f t="shared" si="68"/>
        <v>4575575</v>
      </c>
      <c r="L736" s="262">
        <f t="shared" si="68"/>
        <v>23642872</v>
      </c>
      <c r="M736" s="262">
        <f t="shared" si="68"/>
        <v>7279359</v>
      </c>
      <c r="N736" s="262">
        <f t="shared" si="68"/>
        <v>121172</v>
      </c>
      <c r="O736" s="262">
        <f t="shared" si="68"/>
        <v>117852</v>
      </c>
      <c r="P736" s="262">
        <f t="shared" si="68"/>
        <v>10171582</v>
      </c>
      <c r="Q736" s="262">
        <f t="shared" si="68"/>
        <v>54470670</v>
      </c>
    </row>
    <row r="737" spans="1:17" ht="15.9" customHeight="1" x14ac:dyDescent="0.25">
      <c r="A737" s="172">
        <v>2</v>
      </c>
      <c r="B737" s="172"/>
      <c r="C737" s="172"/>
      <c r="D737" s="174" t="s">
        <v>183</v>
      </c>
      <c r="E737" s="200"/>
      <c r="F737" s="263"/>
      <c r="G737" s="264">
        <f>'10'!F22</f>
        <v>5413460</v>
      </c>
      <c r="H737" s="264">
        <f>'10'!G22</f>
        <v>779398</v>
      </c>
      <c r="I737" s="264">
        <f>'10'!H22</f>
        <v>2970861</v>
      </c>
      <c r="J737" s="264">
        <f>'10'!I22</f>
        <v>7100</v>
      </c>
      <c r="K737" s="264">
        <f>'10'!J22</f>
        <v>48443</v>
      </c>
      <c r="L737" s="264">
        <f>'10'!K22</f>
        <v>205828</v>
      </c>
      <c r="M737" s="264">
        <f>'10'!L22</f>
        <v>1195</v>
      </c>
      <c r="N737" s="264">
        <f>'10'!M22</f>
        <v>0</v>
      </c>
      <c r="O737" s="264"/>
      <c r="P737" s="626"/>
      <c r="Q737" s="264">
        <f>SUM(G737:P737)</f>
        <v>9426285</v>
      </c>
    </row>
    <row r="738" spans="1:17" ht="15.9" customHeight="1" x14ac:dyDescent="0.25">
      <c r="A738" s="194"/>
      <c r="B738" s="194"/>
      <c r="C738" s="195"/>
      <c r="D738" s="196" t="s">
        <v>173</v>
      </c>
      <c r="E738" s="235"/>
      <c r="F738" s="265"/>
      <c r="G738" s="47">
        <f>SUM(G736:G737)</f>
        <v>5674591</v>
      </c>
      <c r="H738" s="47">
        <f t="shared" ref="H738:P738" si="69">SUM(H736:H737)</f>
        <v>830585</v>
      </c>
      <c r="I738" s="47">
        <f t="shared" si="69"/>
        <v>11123725</v>
      </c>
      <c r="J738" s="47">
        <f t="shared" si="69"/>
        <v>104176</v>
      </c>
      <c r="K738" s="47">
        <f t="shared" si="69"/>
        <v>4624018</v>
      </c>
      <c r="L738" s="47">
        <f t="shared" si="69"/>
        <v>23848700</v>
      </c>
      <c r="M738" s="47">
        <f t="shared" si="69"/>
        <v>7280554</v>
      </c>
      <c r="N738" s="47">
        <f t="shared" si="69"/>
        <v>121172</v>
      </c>
      <c r="O738" s="47">
        <f t="shared" si="69"/>
        <v>117852</v>
      </c>
      <c r="P738" s="47">
        <f t="shared" si="69"/>
        <v>10171582</v>
      </c>
      <c r="Q738" s="47">
        <f>SUM(Q736:Q737)</f>
        <v>63896955</v>
      </c>
    </row>
    <row r="739" spans="1:17" ht="12" x14ac:dyDescent="0.25">
      <c r="A739" s="286"/>
      <c r="B739" s="286"/>
      <c r="C739" s="286"/>
      <c r="D739" s="286"/>
      <c r="E739" s="286"/>
      <c r="F739" s="286"/>
      <c r="G739" s="286"/>
      <c r="H739" s="286"/>
      <c r="I739" s="286"/>
      <c r="J739" s="286"/>
      <c r="K739" s="286"/>
      <c r="L739" s="286"/>
      <c r="M739" s="442"/>
      <c r="N739" s="442"/>
      <c r="O739" s="286"/>
      <c r="P739" s="286"/>
      <c r="Q739" s="286"/>
    </row>
    <row r="740" spans="1:17" ht="12.75" customHeight="1" x14ac:dyDescent="0.25">
      <c r="N740" s="864"/>
      <c r="O740" s="864"/>
      <c r="P740" s="864"/>
      <c r="Q740" s="267"/>
    </row>
  </sheetData>
  <sheetProtection selectLockedCells="1" selectUnlockedCells="1"/>
  <mergeCells count="29">
    <mergeCell ref="Q1:Q2"/>
    <mergeCell ref="N740:P740"/>
    <mergeCell ref="A1:A2"/>
    <mergeCell ref="B1:B2"/>
    <mergeCell ref="C1:C2"/>
    <mergeCell ref="D1:D2"/>
    <mergeCell ref="E1:E2"/>
    <mergeCell ref="F1:F2"/>
    <mergeCell ref="G1:N1"/>
    <mergeCell ref="O1:P1"/>
    <mergeCell ref="D521:E521"/>
    <mergeCell ref="D258:E258"/>
    <mergeCell ref="D717:E717"/>
    <mergeCell ref="D636:E636"/>
    <mergeCell ref="D637:E637"/>
    <mergeCell ref="D536:E536"/>
    <mergeCell ref="D537:E537"/>
    <mergeCell ref="D540:E540"/>
    <mergeCell ref="D523:E523"/>
    <mergeCell ref="D513:E513"/>
    <mergeCell ref="D508:E508"/>
    <mergeCell ref="D496:E496"/>
    <mergeCell ref="D497:E497"/>
    <mergeCell ref="D459:E459"/>
    <mergeCell ref="D482:E482"/>
    <mergeCell ref="D487:E487"/>
    <mergeCell ref="D493:E493"/>
    <mergeCell ref="D494:E494"/>
    <mergeCell ref="D495:E495"/>
  </mergeCells>
  <phoneticPr fontId="9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2022.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0"/>
  <sheetViews>
    <sheetView workbookViewId="0">
      <pane ySplit="2" topLeftCell="A7" activePane="bottomLeft" state="frozen"/>
      <selection activeCell="I15" sqref="I15"/>
      <selection pane="bottomLeft" activeCell="D4" sqref="D4:D21"/>
    </sheetView>
  </sheetViews>
  <sheetFormatPr defaultColWidth="9.33203125" defaultRowHeight="12.6" x14ac:dyDescent="0.25"/>
  <cols>
    <col min="1" max="1" width="3.109375" style="112" customWidth="1"/>
    <col min="2" max="2" width="3.33203125" style="112" customWidth="1"/>
    <col min="3" max="3" width="39.6640625" style="112" customWidth="1"/>
    <col min="4" max="4" width="13.109375" style="112" customWidth="1"/>
    <col min="5" max="5" width="12.77734375" style="112" customWidth="1"/>
    <col min="6" max="7" width="12.33203125" style="112" customWidth="1"/>
    <col min="8" max="8" width="7.6640625" style="112" customWidth="1"/>
    <col min="9" max="9" width="10.33203125" style="112" customWidth="1"/>
    <col min="10" max="10" width="12" style="112" customWidth="1"/>
    <col min="11" max="12" width="12.33203125" style="112" customWidth="1"/>
    <col min="13" max="13" width="12.77734375" style="112" customWidth="1"/>
    <col min="14" max="14" width="14.77734375" style="112" customWidth="1"/>
    <col min="15" max="15" width="12" style="112" customWidth="1"/>
    <col min="16" max="16" width="12.44140625" style="112" customWidth="1"/>
    <col min="17" max="16384" width="9.33203125" style="112"/>
  </cols>
  <sheetData>
    <row r="1" spans="1:16" ht="12.75" customHeight="1" x14ac:dyDescent="0.25">
      <c r="A1" s="884" t="s">
        <v>1257</v>
      </c>
      <c r="B1" s="888" t="s">
        <v>19</v>
      </c>
      <c r="C1" s="836" t="s">
        <v>128</v>
      </c>
      <c r="D1" s="886" t="s">
        <v>1013</v>
      </c>
      <c r="E1" s="886" t="s">
        <v>1261</v>
      </c>
      <c r="F1" s="889" t="s">
        <v>135</v>
      </c>
      <c r="G1" s="889"/>
      <c r="H1" s="889"/>
      <c r="I1" s="889"/>
      <c r="J1" s="889"/>
      <c r="K1" s="889"/>
      <c r="L1" s="889"/>
      <c r="M1" s="889" t="s">
        <v>197</v>
      </c>
      <c r="N1" s="889"/>
      <c r="O1" s="889"/>
      <c r="P1" s="886" t="s">
        <v>1262</v>
      </c>
    </row>
    <row r="2" spans="1:16" s="113" customFormat="1" ht="78" customHeight="1" x14ac:dyDescent="0.25">
      <c r="A2" s="885"/>
      <c r="B2" s="888"/>
      <c r="C2" s="836"/>
      <c r="D2" s="887"/>
      <c r="E2" s="887"/>
      <c r="F2" s="119" t="s">
        <v>14</v>
      </c>
      <c r="G2" s="119" t="s">
        <v>15</v>
      </c>
      <c r="H2" s="100" t="s">
        <v>16</v>
      </c>
      <c r="I2" s="119" t="s">
        <v>193</v>
      </c>
      <c r="J2" s="100" t="s">
        <v>194</v>
      </c>
      <c r="K2" s="100" t="s">
        <v>195</v>
      </c>
      <c r="L2" s="100" t="s">
        <v>196</v>
      </c>
      <c r="M2" s="100" t="s">
        <v>137</v>
      </c>
      <c r="N2" s="100" t="s">
        <v>95</v>
      </c>
      <c r="O2" s="100" t="s">
        <v>139</v>
      </c>
      <c r="P2" s="887"/>
    </row>
    <row r="3" spans="1:16" s="113" customFormat="1" ht="15.75" customHeight="1" x14ac:dyDescent="0.25">
      <c r="A3" s="698">
        <v>2</v>
      </c>
      <c r="B3" s="690"/>
      <c r="C3" s="700" t="s">
        <v>183</v>
      </c>
      <c r="D3" s="708"/>
      <c r="E3" s="708"/>
      <c r="F3" s="691"/>
      <c r="G3" s="691"/>
      <c r="H3" s="692"/>
      <c r="I3" s="691"/>
      <c r="J3" s="692"/>
      <c r="K3" s="692"/>
      <c r="L3" s="692"/>
      <c r="M3" s="692"/>
      <c r="N3" s="692"/>
      <c r="O3" s="692"/>
      <c r="P3" s="693"/>
    </row>
    <row r="4" spans="1:16" ht="17.100000000000001" customHeight="1" x14ac:dyDescent="0.25">
      <c r="A4" s="687"/>
      <c r="B4" s="688">
        <v>1</v>
      </c>
      <c r="C4" s="120" t="s">
        <v>130</v>
      </c>
      <c r="D4" s="709">
        <v>1811959</v>
      </c>
      <c r="E4" s="709">
        <f>0+táj3!N4</f>
        <v>2908</v>
      </c>
      <c r="F4" s="121">
        <f>22319+táj3!D4</f>
        <v>22319</v>
      </c>
      <c r="G4" s="121">
        <f>0+táj3!E4</f>
        <v>0</v>
      </c>
      <c r="H4" s="121">
        <f>0+táj3!F4</f>
        <v>0</v>
      </c>
      <c r="I4" s="121">
        <f>19000+táj3!G4</f>
        <v>19000</v>
      </c>
      <c r="J4" s="121">
        <f>0+táj3!H4</f>
        <v>0</v>
      </c>
      <c r="K4" s="121">
        <f>0+táj3!I4</f>
        <v>0</v>
      </c>
      <c r="L4" s="121">
        <f>0+táj3!J4</f>
        <v>0</v>
      </c>
      <c r="M4" s="121">
        <f>168313+táj3!K4</f>
        <v>168313</v>
      </c>
      <c r="N4" s="121">
        <f>1602327+táj3!L4</f>
        <v>1605235</v>
      </c>
      <c r="O4" s="121">
        <f>0+táj3!M4</f>
        <v>0</v>
      </c>
      <c r="P4" s="121">
        <f t="shared" ref="P4:P21" si="0">SUM(F4:O4)</f>
        <v>1814867</v>
      </c>
    </row>
    <row r="5" spans="1:16" ht="17.100000000000001" customHeight="1" x14ac:dyDescent="0.25">
      <c r="A5" s="687"/>
      <c r="B5" s="688">
        <v>2</v>
      </c>
      <c r="C5" s="120" t="s">
        <v>125</v>
      </c>
      <c r="D5" s="709">
        <v>1222244</v>
      </c>
      <c r="E5" s="709">
        <f>0+táj3!N5</f>
        <v>367</v>
      </c>
      <c r="F5" s="121">
        <f>0+táj3!D5</f>
        <v>0</v>
      </c>
      <c r="G5" s="121">
        <f>0+táj3!E5</f>
        <v>0</v>
      </c>
      <c r="H5" s="121">
        <f>0+táj3!F5</f>
        <v>0</v>
      </c>
      <c r="I5" s="121">
        <f>564200+táj3!G5</f>
        <v>564200</v>
      </c>
      <c r="J5" s="121">
        <f>0+táj3!H5</f>
        <v>0</v>
      </c>
      <c r="K5" s="121">
        <f>0+táj3!I5</f>
        <v>0</v>
      </c>
      <c r="L5" s="121">
        <f>0+táj3!J5</f>
        <v>0</v>
      </c>
      <c r="M5" s="121">
        <f>8831+táj3!K5</f>
        <v>8831</v>
      </c>
      <c r="N5" s="121">
        <f>649213+táj3!L5</f>
        <v>649580</v>
      </c>
      <c r="O5" s="121">
        <f>0+táj3!M5</f>
        <v>0</v>
      </c>
      <c r="P5" s="121">
        <f t="shared" si="0"/>
        <v>1222611</v>
      </c>
    </row>
    <row r="6" spans="1:16" ht="17.100000000000001" customHeight="1" x14ac:dyDescent="0.25">
      <c r="A6" s="687"/>
      <c r="B6" s="688">
        <v>3</v>
      </c>
      <c r="C6" s="120" t="s">
        <v>155</v>
      </c>
      <c r="D6" s="709">
        <v>789793</v>
      </c>
      <c r="E6" s="709">
        <f>0+táj3!N6</f>
        <v>2079</v>
      </c>
      <c r="F6" s="121">
        <f>7542+táj3!D6</f>
        <v>7542</v>
      </c>
      <c r="G6" s="121">
        <f>0+táj3!E6</f>
        <v>0</v>
      </c>
      <c r="H6" s="121">
        <f>0+táj3!F6</f>
        <v>0</v>
      </c>
      <c r="I6" s="121">
        <f>62300+táj3!G6</f>
        <v>62300</v>
      </c>
      <c r="J6" s="121">
        <f>0+táj3!H6</f>
        <v>0</v>
      </c>
      <c r="K6" s="121">
        <f>0+táj3!I6</f>
        <v>0</v>
      </c>
      <c r="L6" s="121">
        <f>0+táj3!J6</f>
        <v>0</v>
      </c>
      <c r="M6" s="121">
        <f>9898+táj3!K6</f>
        <v>9898</v>
      </c>
      <c r="N6" s="121">
        <f>710053+táj3!L6</f>
        <v>712132</v>
      </c>
      <c r="O6" s="121"/>
      <c r="P6" s="121">
        <f t="shared" si="0"/>
        <v>791872</v>
      </c>
    </row>
    <row r="7" spans="1:16" ht="24" customHeight="1" x14ac:dyDescent="0.25">
      <c r="A7" s="687"/>
      <c r="B7" s="688">
        <v>4</v>
      </c>
      <c r="C7" s="122" t="s">
        <v>185</v>
      </c>
      <c r="D7" s="710">
        <v>613491</v>
      </c>
      <c r="E7" s="709">
        <f>0+táj3!N7</f>
        <v>0</v>
      </c>
      <c r="F7" s="121">
        <f>439340+táj3!D7</f>
        <v>439340</v>
      </c>
      <c r="G7" s="121">
        <f>0+táj3!E7</f>
        <v>0</v>
      </c>
      <c r="H7" s="121">
        <f>0+táj3!F7</f>
        <v>0</v>
      </c>
      <c r="I7" s="121">
        <f>0+táj3!G7</f>
        <v>0</v>
      </c>
      <c r="J7" s="121">
        <f>0+táj3!H7</f>
        <v>0</v>
      </c>
      <c r="K7" s="121">
        <f>0+táj3!I7</f>
        <v>0</v>
      </c>
      <c r="L7" s="121">
        <f>0+táj3!J7</f>
        <v>0</v>
      </c>
      <c r="M7" s="121">
        <f>49435+táj3!K7</f>
        <v>49435</v>
      </c>
      <c r="N7" s="121">
        <f>124716+táj3!L7</f>
        <v>124716</v>
      </c>
      <c r="O7" s="121">
        <f>0+táj3!M7</f>
        <v>0</v>
      </c>
      <c r="P7" s="121">
        <f t="shared" si="0"/>
        <v>613491</v>
      </c>
    </row>
    <row r="8" spans="1:16" ht="24" customHeight="1" x14ac:dyDescent="0.25">
      <c r="A8" s="687"/>
      <c r="B8" s="688">
        <v>5</v>
      </c>
      <c r="C8" s="122" t="s">
        <v>186</v>
      </c>
      <c r="D8" s="710">
        <v>269962</v>
      </c>
      <c r="E8" s="709">
        <f>0+táj3!N8</f>
        <v>12838</v>
      </c>
      <c r="F8" s="121">
        <f>0+táj3!D8</f>
        <v>0</v>
      </c>
      <c r="G8" s="121">
        <f>0+táj3!E8</f>
        <v>0</v>
      </c>
      <c r="H8" s="121">
        <f>0+táj3!F8</f>
        <v>0</v>
      </c>
      <c r="I8" s="121">
        <f>1440+táj3!G8</f>
        <v>1440</v>
      </c>
      <c r="J8" s="121">
        <f>0+táj3!H8</f>
        <v>0</v>
      </c>
      <c r="K8" s="121">
        <f>0+táj3!I8</f>
        <v>0</v>
      </c>
      <c r="L8" s="121">
        <f>0+táj3!J8</f>
        <v>0</v>
      </c>
      <c r="M8" s="121">
        <f>23131+táj3!K8</f>
        <v>23131</v>
      </c>
      <c r="N8" s="121">
        <f>245391+táj3!L8</f>
        <v>258229</v>
      </c>
      <c r="O8" s="121">
        <f>0+táj3!M8</f>
        <v>0</v>
      </c>
      <c r="P8" s="121">
        <f t="shared" si="0"/>
        <v>282800</v>
      </c>
    </row>
    <row r="9" spans="1:16" ht="17.100000000000001" customHeight="1" x14ac:dyDescent="0.25">
      <c r="A9" s="687"/>
      <c r="B9" s="688">
        <v>6</v>
      </c>
      <c r="C9" s="123" t="s">
        <v>156</v>
      </c>
      <c r="D9" s="711">
        <v>417423</v>
      </c>
      <c r="E9" s="709">
        <f>0+táj3!N9</f>
        <v>0</v>
      </c>
      <c r="F9" s="121">
        <f>0+táj3!D9</f>
        <v>0</v>
      </c>
      <c r="G9" s="121">
        <f>0+táj3!E9</f>
        <v>0</v>
      </c>
      <c r="H9" s="121">
        <f>0+táj3!F9</f>
        <v>0</v>
      </c>
      <c r="I9" s="121">
        <f>17421+táj3!G9</f>
        <v>17421</v>
      </c>
      <c r="J9" s="121">
        <f>0+táj3!H9</f>
        <v>0</v>
      </c>
      <c r="K9" s="121">
        <f>0+táj3!I9</f>
        <v>0</v>
      </c>
      <c r="L9" s="121">
        <f>0+táj3!J9</f>
        <v>0</v>
      </c>
      <c r="M9" s="121">
        <f>22581+táj3!K9</f>
        <v>22581</v>
      </c>
      <c r="N9" s="121">
        <f>377421+táj3!L9</f>
        <v>377421</v>
      </c>
      <c r="O9" s="121">
        <f>0+táj3!M9</f>
        <v>0</v>
      </c>
      <c r="P9" s="121">
        <f t="shared" si="0"/>
        <v>417423</v>
      </c>
    </row>
    <row r="10" spans="1:16" ht="17.100000000000001" customHeight="1" x14ac:dyDescent="0.25">
      <c r="A10" s="687"/>
      <c r="B10" s="688">
        <v>7</v>
      </c>
      <c r="C10" s="123" t="s">
        <v>157</v>
      </c>
      <c r="D10" s="711">
        <v>376005</v>
      </c>
      <c r="E10" s="709">
        <f>0+táj3!N10</f>
        <v>0</v>
      </c>
      <c r="F10" s="121">
        <f>0+táj3!D10</f>
        <v>0</v>
      </c>
      <c r="G10" s="121">
        <f>0+táj3!E10</f>
        <v>0</v>
      </c>
      <c r="H10" s="121">
        <f>0+táj3!F10</f>
        <v>0</v>
      </c>
      <c r="I10" s="121">
        <f>25327+táj3!G10</f>
        <v>25327</v>
      </c>
      <c r="J10" s="121">
        <f>0+táj3!H10</f>
        <v>0</v>
      </c>
      <c r="K10" s="121">
        <f>0+táj3!I10</f>
        <v>0</v>
      </c>
      <c r="L10" s="121">
        <f>0+táj3!J10</f>
        <v>0</v>
      </c>
      <c r="M10" s="121">
        <f>8836+táj3!K10</f>
        <v>8836</v>
      </c>
      <c r="N10" s="121">
        <f>341842+táj3!L10</f>
        <v>341842</v>
      </c>
      <c r="O10" s="121">
        <f>0+táj3!M10</f>
        <v>0</v>
      </c>
      <c r="P10" s="121">
        <f t="shared" si="0"/>
        <v>376005</v>
      </c>
    </row>
    <row r="11" spans="1:16" ht="17.100000000000001" customHeight="1" x14ac:dyDescent="0.25">
      <c r="A11" s="687"/>
      <c r="B11" s="688">
        <v>8</v>
      </c>
      <c r="C11" s="123" t="s">
        <v>158</v>
      </c>
      <c r="D11" s="711">
        <v>402562</v>
      </c>
      <c r="E11" s="709">
        <f>0+táj3!N11</f>
        <v>0</v>
      </c>
      <c r="F11" s="121">
        <f>0+táj3!D11</f>
        <v>0</v>
      </c>
      <c r="G11" s="121">
        <f>0+táj3!E11</f>
        <v>0</v>
      </c>
      <c r="H11" s="121">
        <f>0+táj3!F11</f>
        <v>0</v>
      </c>
      <c r="I11" s="121">
        <f>25139+táj3!G11</f>
        <v>25139</v>
      </c>
      <c r="J11" s="121">
        <f>0+táj3!H11</f>
        <v>0</v>
      </c>
      <c r="K11" s="121">
        <f>0+táj3!I11</f>
        <v>0</v>
      </c>
      <c r="L11" s="121">
        <f>0+táj3!J11</f>
        <v>0</v>
      </c>
      <c r="M11" s="121">
        <f>9885+táj3!K11</f>
        <v>9885</v>
      </c>
      <c r="N11" s="121">
        <f>367538+táj3!L11</f>
        <v>367538</v>
      </c>
      <c r="O11" s="121">
        <f>0+táj3!M11</f>
        <v>0</v>
      </c>
      <c r="P11" s="121">
        <f t="shared" si="0"/>
        <v>402562</v>
      </c>
    </row>
    <row r="12" spans="1:16" ht="17.100000000000001" customHeight="1" x14ac:dyDescent="0.25">
      <c r="A12" s="687"/>
      <c r="B12" s="688">
        <v>9</v>
      </c>
      <c r="C12" s="123" t="s">
        <v>159</v>
      </c>
      <c r="D12" s="711">
        <v>375385</v>
      </c>
      <c r="E12" s="709">
        <f>0+táj3!N12</f>
        <v>0</v>
      </c>
      <c r="F12" s="121">
        <f>0+táj3!D12</f>
        <v>0</v>
      </c>
      <c r="G12" s="121">
        <f>0+táj3!E12</f>
        <v>0</v>
      </c>
      <c r="H12" s="121">
        <f>0+táj3!F12</f>
        <v>0</v>
      </c>
      <c r="I12" s="121">
        <f>16011+táj3!G12</f>
        <v>16011</v>
      </c>
      <c r="J12" s="121">
        <f>0+táj3!H12</f>
        <v>0</v>
      </c>
      <c r="K12" s="121">
        <f>0+táj3!I12</f>
        <v>0</v>
      </c>
      <c r="L12" s="121">
        <f>0+táj3!J12</f>
        <v>0</v>
      </c>
      <c r="M12" s="121">
        <f>17529+táj3!K12</f>
        <v>17529</v>
      </c>
      <c r="N12" s="121">
        <f>341845+táj3!L12</f>
        <v>341845</v>
      </c>
      <c r="O12" s="121">
        <f>0+táj3!M12</f>
        <v>0</v>
      </c>
      <c r="P12" s="121">
        <f t="shared" si="0"/>
        <v>375385</v>
      </c>
    </row>
    <row r="13" spans="1:16" ht="18" customHeight="1" x14ac:dyDescent="0.25">
      <c r="A13" s="687"/>
      <c r="B13" s="688">
        <v>10</v>
      </c>
      <c r="C13" s="124" t="s">
        <v>187</v>
      </c>
      <c r="D13" s="712">
        <v>66784</v>
      </c>
      <c r="E13" s="709">
        <f>0+táj3!N13</f>
        <v>0</v>
      </c>
      <c r="F13" s="121">
        <f>16166+táj3!D13</f>
        <v>16166</v>
      </c>
      <c r="G13" s="121">
        <f>0+táj3!E13</f>
        <v>0</v>
      </c>
      <c r="H13" s="121">
        <f>0+táj3!F13</f>
        <v>0</v>
      </c>
      <c r="I13" s="121">
        <f>1+táj3!G13</f>
        <v>1</v>
      </c>
      <c r="J13" s="121">
        <f>0+táj3!H13</f>
        <v>0</v>
      </c>
      <c r="K13" s="121">
        <f>0+táj3!I13</f>
        <v>0</v>
      </c>
      <c r="L13" s="121">
        <f>0+táj3!J13</f>
        <v>0</v>
      </c>
      <c r="M13" s="121">
        <f>197+táj3!K13</f>
        <v>197</v>
      </c>
      <c r="N13" s="121">
        <f>50420+táj3!L13</f>
        <v>50420</v>
      </c>
      <c r="O13" s="121">
        <f>0+táj3!M13</f>
        <v>0</v>
      </c>
      <c r="P13" s="121">
        <f t="shared" si="0"/>
        <v>66784</v>
      </c>
    </row>
    <row r="14" spans="1:16" ht="17.100000000000001" customHeight="1" x14ac:dyDescent="0.25">
      <c r="A14" s="687"/>
      <c r="B14" s="688">
        <v>11</v>
      </c>
      <c r="C14" s="125" t="s">
        <v>152</v>
      </c>
      <c r="D14" s="713">
        <v>486129</v>
      </c>
      <c r="E14" s="709">
        <f>0+táj3!N14</f>
        <v>12540</v>
      </c>
      <c r="F14" s="121">
        <f>35488+táj3!D14</f>
        <v>35488</v>
      </c>
      <c r="G14" s="121">
        <f>0+táj3!E14</f>
        <v>0</v>
      </c>
      <c r="H14" s="121">
        <f>0+táj3!F14</f>
        <v>0</v>
      </c>
      <c r="I14" s="121">
        <f>80000+táj3!G14</f>
        <v>80000</v>
      </c>
      <c r="J14" s="121">
        <f>0+táj3!H14</f>
        <v>0</v>
      </c>
      <c r="K14" s="121">
        <f>0+táj3!I14</f>
        <v>0</v>
      </c>
      <c r="L14" s="121">
        <f>0+táj3!J14</f>
        <v>0</v>
      </c>
      <c r="M14" s="121">
        <f>135392+táj3!K14</f>
        <v>135392</v>
      </c>
      <c r="N14" s="121">
        <f>235249+táj3!L14</f>
        <v>247789</v>
      </c>
      <c r="O14" s="121">
        <f>0+táj3!M14</f>
        <v>0</v>
      </c>
      <c r="P14" s="121">
        <f t="shared" si="0"/>
        <v>498669</v>
      </c>
    </row>
    <row r="15" spans="1:16" ht="27" customHeight="1" x14ac:dyDescent="0.25">
      <c r="A15" s="687"/>
      <c r="B15" s="688">
        <v>12</v>
      </c>
      <c r="C15" s="122" t="s">
        <v>160</v>
      </c>
      <c r="D15" s="710">
        <v>24245</v>
      </c>
      <c r="E15" s="709">
        <f>0+táj3!N15</f>
        <v>0</v>
      </c>
      <c r="F15" s="121">
        <f>0+táj3!D15</f>
        <v>0</v>
      </c>
      <c r="G15" s="121">
        <f>0+táj3!E15</f>
        <v>0</v>
      </c>
      <c r="H15" s="121">
        <f>0+táj3!F15</f>
        <v>0</v>
      </c>
      <c r="I15" s="121">
        <f>1500+táj3!G15</f>
        <v>1500</v>
      </c>
      <c r="J15" s="121">
        <f>0+táj3!H15</f>
        <v>0</v>
      </c>
      <c r="K15" s="121">
        <f>0+táj3!I15</f>
        <v>0</v>
      </c>
      <c r="L15" s="121">
        <f>0+táj3!J15</f>
        <v>0</v>
      </c>
      <c r="M15" s="121">
        <f>500+táj3!K15</f>
        <v>500</v>
      </c>
      <c r="N15" s="121">
        <f>22245+táj3!L15</f>
        <v>22245</v>
      </c>
      <c r="O15" s="121">
        <f>0+táj3!M15</f>
        <v>0</v>
      </c>
      <c r="P15" s="121">
        <f t="shared" si="0"/>
        <v>24245</v>
      </c>
    </row>
    <row r="16" spans="1:16" ht="17.100000000000001" customHeight="1" x14ac:dyDescent="0.25">
      <c r="A16" s="687"/>
      <c r="B16" s="688">
        <v>13</v>
      </c>
      <c r="C16" s="123" t="s">
        <v>153</v>
      </c>
      <c r="D16" s="711">
        <v>492549</v>
      </c>
      <c r="E16" s="709">
        <f>0+táj3!N16</f>
        <v>0</v>
      </c>
      <c r="F16" s="121">
        <f>38861+táj3!D16</f>
        <v>38861</v>
      </c>
      <c r="G16" s="121">
        <f>0+táj3!E16</f>
        <v>0</v>
      </c>
      <c r="H16" s="121">
        <f>0+táj3!F16</f>
        <v>0</v>
      </c>
      <c r="I16" s="121">
        <f>28000+táj3!G16</f>
        <v>28000</v>
      </c>
      <c r="J16" s="121">
        <f>0+táj3!H16</f>
        <v>0</v>
      </c>
      <c r="K16" s="121">
        <f>0+táj3!I16</f>
        <v>0</v>
      </c>
      <c r="L16" s="121">
        <f>0+táj3!J16</f>
        <v>0</v>
      </c>
      <c r="M16" s="121">
        <f>19555+táj3!K16</f>
        <v>19555</v>
      </c>
      <c r="N16" s="121">
        <f>406133+táj3!L16</f>
        <v>406133</v>
      </c>
      <c r="O16" s="121">
        <f>0+táj3!M16</f>
        <v>0</v>
      </c>
      <c r="P16" s="121">
        <f t="shared" si="0"/>
        <v>492549</v>
      </c>
    </row>
    <row r="17" spans="1:16" ht="17.100000000000001" customHeight="1" x14ac:dyDescent="0.25">
      <c r="A17" s="687"/>
      <c r="B17" s="688">
        <v>14</v>
      </c>
      <c r="C17" s="123" t="s">
        <v>154</v>
      </c>
      <c r="D17" s="711">
        <v>683147</v>
      </c>
      <c r="E17" s="709">
        <f>0+táj3!N17</f>
        <v>1920</v>
      </c>
      <c r="F17" s="121">
        <f>43244+táj3!D17</f>
        <v>45364</v>
      </c>
      <c r="G17" s="121">
        <f>0+táj3!E17</f>
        <v>0</v>
      </c>
      <c r="H17" s="121">
        <f>0+táj3!F17</f>
        <v>0</v>
      </c>
      <c r="I17" s="121">
        <f>326238+táj3!G17</f>
        <v>326238</v>
      </c>
      <c r="J17" s="121">
        <f>0+táj3!H17</f>
        <v>0</v>
      </c>
      <c r="K17" s="121">
        <f>0+táj3!I17</f>
        <v>0</v>
      </c>
      <c r="L17" s="121">
        <f>0+táj3!J17</f>
        <v>0</v>
      </c>
      <c r="M17" s="121">
        <f>15459+táj3!K17</f>
        <v>15459</v>
      </c>
      <c r="N17" s="121">
        <f>298206+táj3!L17</f>
        <v>298006</v>
      </c>
      <c r="O17" s="121">
        <f>0+táj3!M17</f>
        <v>0</v>
      </c>
      <c r="P17" s="121">
        <f t="shared" si="0"/>
        <v>685067</v>
      </c>
    </row>
    <row r="18" spans="1:16" ht="17.100000000000001" customHeight="1" x14ac:dyDescent="0.25">
      <c r="A18" s="687"/>
      <c r="B18" s="688">
        <v>15</v>
      </c>
      <c r="C18" s="123" t="s">
        <v>161</v>
      </c>
      <c r="D18" s="711">
        <v>846700</v>
      </c>
      <c r="E18" s="709">
        <f>0+táj3!N18</f>
        <v>0</v>
      </c>
      <c r="F18" s="121">
        <f>425000+táj3!D18</f>
        <v>425000</v>
      </c>
      <c r="G18" s="121">
        <f>0+táj3!E18</f>
        <v>0</v>
      </c>
      <c r="H18" s="121">
        <f>0+táj3!F18</f>
        <v>0</v>
      </c>
      <c r="I18" s="121">
        <f>167698+táj3!G18</f>
        <v>167698</v>
      </c>
      <c r="J18" s="121">
        <f>0+táj3!H18</f>
        <v>0</v>
      </c>
      <c r="K18" s="121">
        <f>0+táj3!I18</f>
        <v>0</v>
      </c>
      <c r="L18" s="121">
        <f>0+táj3!J18</f>
        <v>0</v>
      </c>
      <c r="M18" s="121">
        <f>46338+táj3!K18</f>
        <v>46338</v>
      </c>
      <c r="N18" s="121">
        <f>207664+táj3!L18</f>
        <v>207664</v>
      </c>
      <c r="O18" s="121">
        <f>0+táj3!M18</f>
        <v>0</v>
      </c>
      <c r="P18" s="121">
        <f t="shared" si="0"/>
        <v>846700</v>
      </c>
    </row>
    <row r="19" spans="1:16" ht="17.100000000000001" customHeight="1" x14ac:dyDescent="0.25">
      <c r="A19" s="687"/>
      <c r="B19" s="688">
        <v>16</v>
      </c>
      <c r="C19" s="123" t="s">
        <v>162</v>
      </c>
      <c r="D19" s="711">
        <v>192072</v>
      </c>
      <c r="E19" s="709">
        <f>0+táj3!N19</f>
        <v>0</v>
      </c>
      <c r="F19" s="121">
        <f>80000+táj3!D19</f>
        <v>80000</v>
      </c>
      <c r="G19" s="121">
        <f>0+táj3!E19</f>
        <v>0</v>
      </c>
      <c r="H19" s="121">
        <f>0+táj3!F19</f>
        <v>0</v>
      </c>
      <c r="I19" s="121">
        <f>25531+táj3!G19</f>
        <v>25531</v>
      </c>
      <c r="J19" s="121">
        <f>0+táj3!H19</f>
        <v>0</v>
      </c>
      <c r="K19" s="121">
        <f>0+táj3!I19</f>
        <v>0</v>
      </c>
      <c r="L19" s="121">
        <f>0+táj3!J19</f>
        <v>0</v>
      </c>
      <c r="M19" s="121">
        <f>47082+táj3!K19</f>
        <v>47082</v>
      </c>
      <c r="N19" s="121">
        <f>39459+táj3!L19</f>
        <v>39459</v>
      </c>
      <c r="O19" s="121">
        <f>0+táj3!M19</f>
        <v>0</v>
      </c>
      <c r="P19" s="121">
        <f t="shared" si="0"/>
        <v>192072</v>
      </c>
    </row>
    <row r="20" spans="1:16" ht="17.100000000000001" customHeight="1" x14ac:dyDescent="0.25">
      <c r="A20" s="687"/>
      <c r="B20" s="688">
        <v>17</v>
      </c>
      <c r="C20" s="123" t="s">
        <v>188</v>
      </c>
      <c r="D20" s="711">
        <v>164751</v>
      </c>
      <c r="E20" s="709">
        <f>0+táj3!N20</f>
        <v>0</v>
      </c>
      <c r="F20" s="121">
        <f>0+táj3!D20</f>
        <v>0</v>
      </c>
      <c r="G20" s="121">
        <f>0+táj3!E20</f>
        <v>0</v>
      </c>
      <c r="H20" s="121">
        <f>0+táj3!F20</f>
        <v>0</v>
      </c>
      <c r="I20" s="121">
        <f>63460+táj3!G20</f>
        <v>63460</v>
      </c>
      <c r="J20" s="121">
        <f>0+táj3!H20</f>
        <v>0</v>
      </c>
      <c r="K20" s="121">
        <f>0+táj3!I20</f>
        <v>0</v>
      </c>
      <c r="L20" s="121">
        <f>0+táj3!J20</f>
        <v>0</v>
      </c>
      <c r="M20" s="121">
        <f>14000+táj3!K20</f>
        <v>14000</v>
      </c>
      <c r="N20" s="121">
        <f>87291+táj3!L20</f>
        <v>87291</v>
      </c>
      <c r="O20" s="121">
        <f>0+táj3!M20</f>
        <v>0</v>
      </c>
      <c r="P20" s="121">
        <f t="shared" si="0"/>
        <v>164751</v>
      </c>
    </row>
    <row r="21" spans="1:16" ht="17.100000000000001" customHeight="1" x14ac:dyDescent="0.25">
      <c r="A21" s="687"/>
      <c r="B21" s="688">
        <v>18</v>
      </c>
      <c r="C21" s="123" t="s">
        <v>191</v>
      </c>
      <c r="D21" s="711">
        <v>158432</v>
      </c>
      <c r="E21" s="709">
        <f>0+táj3!N21</f>
        <v>0</v>
      </c>
      <c r="F21" s="121">
        <f>0+táj3!D21</f>
        <v>0</v>
      </c>
      <c r="G21" s="121">
        <f>0+táj3!E21</f>
        <v>0</v>
      </c>
      <c r="H21" s="121">
        <f>0+táj3!F21</f>
        <v>0</v>
      </c>
      <c r="I21" s="121">
        <f>113123+táj3!G21</f>
        <v>113123</v>
      </c>
      <c r="J21" s="121">
        <f>0+táj3!H21</f>
        <v>0</v>
      </c>
      <c r="K21" s="121">
        <f>0+táj3!I21</f>
        <v>0</v>
      </c>
      <c r="L21" s="121">
        <f>0+táj3!J21</f>
        <v>0</v>
      </c>
      <c r="M21" s="121">
        <f>6500+táj3!K21</f>
        <v>6500</v>
      </c>
      <c r="N21" s="121">
        <f>38809+táj3!L21</f>
        <v>38809</v>
      </c>
      <c r="O21" s="121">
        <f>0+táj3!M21</f>
        <v>0</v>
      </c>
      <c r="P21" s="121">
        <f t="shared" si="0"/>
        <v>158432</v>
      </c>
    </row>
    <row r="22" spans="1:16" ht="14.25" customHeight="1" x14ac:dyDescent="0.25">
      <c r="A22" s="694"/>
      <c r="B22" s="686"/>
      <c r="C22" s="126" t="s">
        <v>13</v>
      </c>
      <c r="D22" s="127">
        <f t="shared" ref="D22:P22" si="1">SUM(D4:D21)</f>
        <v>9393633</v>
      </c>
      <c r="E22" s="127">
        <f t="shared" si="1"/>
        <v>32652</v>
      </c>
      <c r="F22" s="127">
        <f t="shared" si="1"/>
        <v>1110080</v>
      </c>
      <c r="G22" s="127">
        <f t="shared" si="1"/>
        <v>0</v>
      </c>
      <c r="H22" s="127">
        <f t="shared" si="1"/>
        <v>0</v>
      </c>
      <c r="I22" s="127">
        <f t="shared" si="1"/>
        <v>1536389</v>
      </c>
      <c r="J22" s="127">
        <f t="shared" si="1"/>
        <v>0</v>
      </c>
      <c r="K22" s="127">
        <f t="shared" si="1"/>
        <v>0</v>
      </c>
      <c r="L22" s="127">
        <f t="shared" si="1"/>
        <v>0</v>
      </c>
      <c r="M22" s="127">
        <f t="shared" si="1"/>
        <v>603462</v>
      </c>
      <c r="N22" s="127">
        <f t="shared" si="1"/>
        <v>6176354</v>
      </c>
      <c r="O22" s="127">
        <f t="shared" si="1"/>
        <v>0</v>
      </c>
      <c r="P22" s="127">
        <f t="shared" si="1"/>
        <v>9426285</v>
      </c>
    </row>
    <row r="23" spans="1:16" ht="14.1" customHeight="1" x14ac:dyDescent="0.25">
      <c r="F23" s="114"/>
      <c r="G23" s="114"/>
      <c r="H23" s="114"/>
      <c r="I23" s="114"/>
      <c r="J23" s="114"/>
      <c r="K23" s="114"/>
      <c r="L23" s="114"/>
      <c r="M23" s="114"/>
      <c r="N23" s="114"/>
    </row>
    <row r="24" spans="1:16" ht="14.1" customHeight="1" x14ac:dyDescent="0.25">
      <c r="F24" s="114"/>
      <c r="G24" s="114"/>
      <c r="H24" s="114"/>
      <c r="I24" s="114"/>
      <c r="J24" s="114"/>
      <c r="K24" s="114"/>
      <c r="L24" s="114"/>
      <c r="M24" s="114"/>
      <c r="N24" s="114"/>
    </row>
    <row r="25" spans="1:16" ht="14.1" customHeight="1" x14ac:dyDescent="0.25">
      <c r="F25" s="114"/>
      <c r="G25" s="114"/>
      <c r="H25" s="114"/>
      <c r="I25" s="114"/>
      <c r="J25" s="114"/>
      <c r="K25" s="114"/>
      <c r="L25" s="114"/>
      <c r="M25" s="114"/>
      <c r="N25" s="128"/>
    </row>
    <row r="26" spans="1:16" ht="14.1" customHeight="1" x14ac:dyDescent="0.25">
      <c r="F26" s="114"/>
      <c r="G26" s="114"/>
      <c r="H26" s="114"/>
      <c r="I26" s="114"/>
      <c r="J26" s="114"/>
      <c r="K26" s="114"/>
      <c r="L26" s="114"/>
      <c r="M26" s="114"/>
      <c r="N26" s="128"/>
    </row>
    <row r="27" spans="1:16" ht="14.1" customHeight="1" x14ac:dyDescent="0.25">
      <c r="F27" s="114"/>
      <c r="G27" s="114"/>
      <c r="H27" s="114"/>
      <c r="I27" s="114"/>
      <c r="J27" s="114"/>
      <c r="K27" s="114"/>
      <c r="L27" s="114"/>
      <c r="M27" s="114"/>
      <c r="N27" s="114"/>
    </row>
    <row r="28" spans="1:16" ht="14.1" customHeight="1" x14ac:dyDescent="0.25"/>
    <row r="29" spans="1:16" ht="14.1" customHeight="1" x14ac:dyDescent="0.25"/>
    <row r="30" spans="1:16" ht="14.1" customHeight="1" x14ac:dyDescent="0.25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79" orientation="landscape" r:id="rId1"/>
  <headerFooter alignWithMargins="0">
    <oddHeader>&amp;C&amp;"Times New Roman,Félkövér dőlt"ZALAEGERSZEG  MEGYEI JOGÚ VÁROS ÖNKORMÁNYZATA ÁLTAL IRÁNYÍTOTT KÖLTSÉGVETÉSI SZERVEK
  2022.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7"/>
  <sheetViews>
    <sheetView zoomScale="110" workbookViewId="0">
      <pane ySplit="2" topLeftCell="A15" activePane="bottomLeft" state="frozen"/>
      <selection activeCell="I15" sqref="I15"/>
      <selection pane="bottomLeft" activeCell="E4" sqref="E4:E21"/>
    </sheetView>
  </sheetViews>
  <sheetFormatPr defaultColWidth="9.33203125" defaultRowHeight="11.4" x14ac:dyDescent="0.2"/>
  <cols>
    <col min="1" max="1" width="3" style="19" customWidth="1"/>
    <col min="2" max="2" width="3.77734375" style="19" customWidth="1"/>
    <col min="3" max="3" width="38.33203125" style="19" customWidth="1"/>
    <col min="4" max="4" width="11.6640625" style="19" customWidth="1"/>
    <col min="5" max="5" width="11.77734375" style="19" customWidth="1"/>
    <col min="6" max="6" width="10" style="19" customWidth="1"/>
    <col min="7" max="7" width="11.77734375" style="19" customWidth="1"/>
    <col min="8" max="8" width="9.77734375" style="19" customWidth="1"/>
    <col min="9" max="10" width="10.44140625" style="19" customWidth="1"/>
    <col min="11" max="11" width="11.109375" style="19" customWidth="1"/>
    <col min="12" max="12" width="11.77734375" style="19" customWidth="1"/>
    <col min="13" max="13" width="9.44140625" style="19" customWidth="1"/>
    <col min="14" max="14" width="8.109375" style="19" customWidth="1"/>
    <col min="15" max="15" width="10.77734375" style="31" customWidth="1"/>
    <col min="16" max="16384" width="9.33203125" style="19"/>
  </cols>
  <sheetData>
    <row r="1" spans="1:15" ht="12.75" customHeight="1" x14ac:dyDescent="0.25">
      <c r="A1" s="843" t="s">
        <v>89</v>
      </c>
      <c r="B1" s="891" t="s">
        <v>19</v>
      </c>
      <c r="C1" s="843" t="s">
        <v>128</v>
      </c>
      <c r="D1" s="886" t="s">
        <v>1013</v>
      </c>
      <c r="E1" s="886" t="s">
        <v>1261</v>
      </c>
      <c r="F1" s="842" t="s">
        <v>134</v>
      </c>
      <c r="G1" s="842"/>
      <c r="H1" s="842"/>
      <c r="I1" s="842"/>
      <c r="J1" s="842"/>
      <c r="K1" s="842"/>
      <c r="L1" s="842"/>
      <c r="M1" s="842"/>
      <c r="N1" s="843" t="s">
        <v>133</v>
      </c>
      <c r="O1" s="886" t="s">
        <v>1262</v>
      </c>
    </row>
    <row r="2" spans="1:15" s="28" customFormat="1" ht="60" customHeight="1" x14ac:dyDescent="0.25">
      <c r="A2" s="843"/>
      <c r="B2" s="892"/>
      <c r="C2" s="843"/>
      <c r="D2" s="887"/>
      <c r="E2" s="887"/>
      <c r="F2" s="99" t="s">
        <v>113</v>
      </c>
      <c r="G2" s="99" t="s">
        <v>198</v>
      </c>
      <c r="H2" s="99" t="s">
        <v>192</v>
      </c>
      <c r="I2" s="99" t="s">
        <v>17</v>
      </c>
      <c r="J2" s="99" t="s">
        <v>24</v>
      </c>
      <c r="K2" s="99" t="s">
        <v>22</v>
      </c>
      <c r="L2" s="99" t="s">
        <v>21</v>
      </c>
      <c r="M2" s="99" t="s">
        <v>18</v>
      </c>
      <c r="N2" s="890"/>
      <c r="O2" s="887"/>
    </row>
    <row r="3" spans="1:15" s="28" customFormat="1" ht="17.25" customHeight="1" x14ac:dyDescent="0.25">
      <c r="A3" s="699">
        <v>2</v>
      </c>
      <c r="B3" s="696"/>
      <c r="C3" s="700" t="s">
        <v>183</v>
      </c>
      <c r="D3" s="708"/>
      <c r="E3" s="708"/>
      <c r="F3" s="696"/>
      <c r="G3" s="696"/>
      <c r="H3" s="696"/>
      <c r="I3" s="696"/>
      <c r="J3" s="696"/>
      <c r="K3" s="696"/>
      <c r="L3" s="696"/>
      <c r="M3" s="696"/>
      <c r="N3" s="697"/>
      <c r="O3" s="696"/>
    </row>
    <row r="4" spans="1:15" s="28" customFormat="1" ht="15" customHeight="1" x14ac:dyDescent="0.25">
      <c r="A4" s="129"/>
      <c r="B4" s="688">
        <v>1</v>
      </c>
      <c r="C4" s="130" t="s">
        <v>130</v>
      </c>
      <c r="D4" s="709">
        <v>1811959</v>
      </c>
      <c r="E4" s="714">
        <f>0+táj4!M4</f>
        <v>2908</v>
      </c>
      <c r="F4" s="131">
        <f>1339235+táj4!D4</f>
        <v>1341808</v>
      </c>
      <c r="G4" s="131">
        <f>205539+táj4!E4</f>
        <v>205874</v>
      </c>
      <c r="H4" s="131">
        <f>202185+táj4!F4</f>
        <v>202185</v>
      </c>
      <c r="I4" s="131">
        <f>0+táj4!G4</f>
        <v>0</v>
      </c>
      <c r="J4" s="131">
        <f>0+táj4!H4</f>
        <v>0</v>
      </c>
      <c r="K4" s="131">
        <f>65000+táj4!I4</f>
        <v>65000</v>
      </c>
      <c r="L4" s="131">
        <f>0+táj4!J4</f>
        <v>0</v>
      </c>
      <c r="M4" s="131">
        <f>0+táj4!K4</f>
        <v>0</v>
      </c>
      <c r="N4" s="131">
        <f>0+táj4!L4</f>
        <v>0</v>
      </c>
      <c r="O4" s="131">
        <f t="shared" ref="O4:O21" si="0">SUM(F4:N4)</f>
        <v>1814867</v>
      </c>
    </row>
    <row r="5" spans="1:15" s="28" customFormat="1" ht="15" customHeight="1" x14ac:dyDescent="0.25">
      <c r="A5" s="129"/>
      <c r="B5" s="688">
        <v>2</v>
      </c>
      <c r="C5" s="130" t="s">
        <v>125</v>
      </c>
      <c r="D5" s="709">
        <v>1222244</v>
      </c>
      <c r="E5" s="714">
        <f>0+táj4!M5</f>
        <v>367</v>
      </c>
      <c r="F5" s="131">
        <f>174772+táj4!D5</f>
        <v>174772</v>
      </c>
      <c r="G5" s="131">
        <f>26853+táj4!E5</f>
        <v>26853</v>
      </c>
      <c r="H5" s="131">
        <f>1017619+táj4!F5</f>
        <v>1017986</v>
      </c>
      <c r="I5" s="131">
        <f>0+táj4!G5</f>
        <v>0</v>
      </c>
      <c r="J5" s="131">
        <f>0+táj4!H5</f>
        <v>0</v>
      </c>
      <c r="K5" s="131">
        <f>3000+táj4!I5</f>
        <v>3000</v>
      </c>
      <c r="L5" s="131">
        <f>0+táj4!J5</f>
        <v>0</v>
      </c>
      <c r="M5" s="131">
        <f>0+táj4!K5</f>
        <v>0</v>
      </c>
      <c r="N5" s="131">
        <f>0+táj4!L5</f>
        <v>0</v>
      </c>
      <c r="O5" s="131">
        <f t="shared" si="0"/>
        <v>1222611</v>
      </c>
    </row>
    <row r="6" spans="1:15" s="28" customFormat="1" ht="15" customHeight="1" x14ac:dyDescent="0.25">
      <c r="A6" s="129"/>
      <c r="B6" s="688">
        <v>3</v>
      </c>
      <c r="C6" s="130" t="s">
        <v>155</v>
      </c>
      <c r="D6" s="709">
        <v>789793</v>
      </c>
      <c r="E6" s="714">
        <f>0+táj4!M6</f>
        <v>2079</v>
      </c>
      <c r="F6" s="131">
        <f>588653+táj4!D6</f>
        <v>590474</v>
      </c>
      <c r="G6" s="131">
        <f>77072+táj4!E6</f>
        <v>77330</v>
      </c>
      <c r="H6" s="131">
        <f>122598+táj4!F6</f>
        <v>122598</v>
      </c>
      <c r="I6" s="131">
        <f>0+táj4!G6</f>
        <v>0</v>
      </c>
      <c r="J6" s="131">
        <f>200+táj4!H6</f>
        <v>200</v>
      </c>
      <c r="K6" s="131">
        <f>1270+táj4!I6</f>
        <v>1270</v>
      </c>
      <c r="L6" s="131">
        <f>0+táj4!J6</f>
        <v>0</v>
      </c>
      <c r="M6" s="131">
        <f>0+táj4!K6</f>
        <v>0</v>
      </c>
      <c r="N6" s="131">
        <f>0+táj4!L6</f>
        <v>0</v>
      </c>
      <c r="O6" s="131">
        <f t="shared" si="0"/>
        <v>791872</v>
      </c>
    </row>
    <row r="7" spans="1:15" s="28" customFormat="1" ht="23.25" customHeight="1" x14ac:dyDescent="0.25">
      <c r="A7" s="129"/>
      <c r="B7" s="688">
        <v>4</v>
      </c>
      <c r="C7" s="122" t="s">
        <v>185</v>
      </c>
      <c r="D7" s="710">
        <v>613491</v>
      </c>
      <c r="E7" s="714">
        <f>0+táj4!M7</f>
        <v>0</v>
      </c>
      <c r="F7" s="131">
        <f>377669+táj4!D7</f>
        <v>377669</v>
      </c>
      <c r="G7" s="131">
        <f>49097+táj4!E7</f>
        <v>49097</v>
      </c>
      <c r="H7" s="131">
        <f>182148+táj4!F7</f>
        <v>182148</v>
      </c>
      <c r="I7" s="131">
        <f>0+táj4!G7</f>
        <v>0</v>
      </c>
      <c r="J7" s="131">
        <f>0+táj4!H7</f>
        <v>0</v>
      </c>
      <c r="K7" s="131">
        <f>4577+táj4!I7</f>
        <v>4577</v>
      </c>
      <c r="L7" s="131">
        <f>0+táj4!J7</f>
        <v>0</v>
      </c>
      <c r="M7" s="131">
        <f>0+táj4!K7</f>
        <v>0</v>
      </c>
      <c r="N7" s="131">
        <f>0+táj4!L7</f>
        <v>0</v>
      </c>
      <c r="O7" s="131">
        <f t="shared" si="0"/>
        <v>613491</v>
      </c>
    </row>
    <row r="8" spans="1:15" s="28" customFormat="1" ht="26.25" customHeight="1" x14ac:dyDescent="0.25">
      <c r="A8" s="129"/>
      <c r="B8" s="688">
        <v>5</v>
      </c>
      <c r="C8" s="122" t="s">
        <v>186</v>
      </c>
      <c r="D8" s="710">
        <v>269962</v>
      </c>
      <c r="E8" s="714">
        <f>0+táj4!M8</f>
        <v>12838</v>
      </c>
      <c r="F8" s="131">
        <f>207985+táj4!D8</f>
        <v>217046</v>
      </c>
      <c r="G8" s="131">
        <f>32474+táj4!E8</f>
        <v>33751</v>
      </c>
      <c r="H8" s="131">
        <f>23013+táj4!F8</f>
        <v>23013</v>
      </c>
      <c r="I8" s="131">
        <f>4600+táj4!G8</f>
        <v>7100</v>
      </c>
      <c r="J8" s="131">
        <f>240+táj4!H8</f>
        <v>240</v>
      </c>
      <c r="K8" s="131">
        <f>1650+táj4!I8</f>
        <v>1650</v>
      </c>
      <c r="L8" s="131">
        <f>0+táj4!J8</f>
        <v>0</v>
      </c>
      <c r="M8" s="131">
        <f>0+táj4!K8</f>
        <v>0</v>
      </c>
      <c r="N8" s="131">
        <f>0+táj4!L8</f>
        <v>0</v>
      </c>
      <c r="O8" s="131">
        <f t="shared" si="0"/>
        <v>282800</v>
      </c>
    </row>
    <row r="9" spans="1:15" s="28" customFormat="1" ht="15" customHeight="1" x14ac:dyDescent="0.25">
      <c r="A9" s="129"/>
      <c r="B9" s="688">
        <v>6</v>
      </c>
      <c r="C9" s="123" t="s">
        <v>156</v>
      </c>
      <c r="D9" s="711">
        <v>417423</v>
      </c>
      <c r="E9" s="714">
        <f>0+táj4!M9</f>
        <v>0</v>
      </c>
      <c r="F9" s="131">
        <f>299461+táj4!D9</f>
        <v>299461</v>
      </c>
      <c r="G9" s="131">
        <f>45015+táj4!E9</f>
        <v>45015</v>
      </c>
      <c r="H9" s="131">
        <f>72347+táj4!F9</f>
        <v>70847</v>
      </c>
      <c r="I9" s="131">
        <f>0+táj4!G9</f>
        <v>0</v>
      </c>
      <c r="J9" s="131">
        <f>100+táj4!H9</f>
        <v>100</v>
      </c>
      <c r="K9" s="131">
        <f>500+táj4!I9</f>
        <v>2000</v>
      </c>
      <c r="L9" s="131">
        <f>0+táj4!J9</f>
        <v>0</v>
      </c>
      <c r="M9" s="131">
        <f>0+táj4!K9</f>
        <v>0</v>
      </c>
      <c r="N9" s="131">
        <f>0+táj4!L9</f>
        <v>0</v>
      </c>
      <c r="O9" s="131">
        <f t="shared" si="0"/>
        <v>417423</v>
      </c>
    </row>
    <row r="10" spans="1:15" s="28" customFormat="1" ht="15" customHeight="1" x14ac:dyDescent="0.25">
      <c r="A10" s="129"/>
      <c r="B10" s="688">
        <v>7</v>
      </c>
      <c r="C10" s="123" t="s">
        <v>157</v>
      </c>
      <c r="D10" s="711">
        <v>376005</v>
      </c>
      <c r="E10" s="714">
        <f>0+táj4!M10</f>
        <v>0</v>
      </c>
      <c r="F10" s="131">
        <f>238766+táj4!D10</f>
        <v>238766</v>
      </c>
      <c r="G10" s="131">
        <f>35837+táj4!E10</f>
        <v>35837</v>
      </c>
      <c r="H10" s="131">
        <f>100902+táj4!F10</f>
        <v>100902</v>
      </c>
      <c r="I10" s="131">
        <f>0+táj4!G10</f>
        <v>0</v>
      </c>
      <c r="J10" s="131">
        <f>0+táj4!H10</f>
        <v>0</v>
      </c>
      <c r="K10" s="131">
        <f>500+táj4!I10</f>
        <v>500</v>
      </c>
      <c r="L10" s="131">
        <f>0+táj4!J10</f>
        <v>0</v>
      </c>
      <c r="M10" s="131">
        <f>0+táj4!K10</f>
        <v>0</v>
      </c>
      <c r="N10" s="131">
        <f>0+táj4!L10</f>
        <v>0</v>
      </c>
      <c r="O10" s="131">
        <f t="shared" si="0"/>
        <v>376005</v>
      </c>
    </row>
    <row r="11" spans="1:15" s="29" customFormat="1" ht="15" customHeight="1" x14ac:dyDescent="0.25">
      <c r="A11" s="129"/>
      <c r="B11" s="688">
        <v>8</v>
      </c>
      <c r="C11" s="123" t="s">
        <v>158</v>
      </c>
      <c r="D11" s="711">
        <v>402562</v>
      </c>
      <c r="E11" s="714">
        <f>0+táj4!M11</f>
        <v>0</v>
      </c>
      <c r="F11" s="5">
        <f>252645+táj4!D11</f>
        <v>252645</v>
      </c>
      <c r="G11" s="5">
        <f>38305+táj4!E11</f>
        <v>38305</v>
      </c>
      <c r="H11" s="5">
        <f>111112+táj4!F11</f>
        <v>111112</v>
      </c>
      <c r="I11" s="5">
        <f>0+táj4!G11</f>
        <v>0</v>
      </c>
      <c r="J11" s="5">
        <f>0+táj4!H11</f>
        <v>0</v>
      </c>
      <c r="K11" s="5">
        <f>500+táj4!I11</f>
        <v>500</v>
      </c>
      <c r="L11" s="5">
        <f>0+táj4!J11</f>
        <v>0</v>
      </c>
      <c r="M11" s="5">
        <f>0+táj4!K11</f>
        <v>0</v>
      </c>
      <c r="N11" s="5">
        <f>0+táj4!L11</f>
        <v>0</v>
      </c>
      <c r="O11" s="131">
        <f t="shared" si="0"/>
        <v>402562</v>
      </c>
    </row>
    <row r="12" spans="1:15" s="29" customFormat="1" ht="17.25" customHeight="1" x14ac:dyDescent="0.25">
      <c r="A12" s="129"/>
      <c r="B12" s="688">
        <v>9</v>
      </c>
      <c r="C12" s="123" t="s">
        <v>159</v>
      </c>
      <c r="D12" s="711">
        <v>375385</v>
      </c>
      <c r="E12" s="714">
        <f>0+táj4!M12</f>
        <v>0</v>
      </c>
      <c r="F12" s="5">
        <f>261822+táj4!D12</f>
        <v>261822</v>
      </c>
      <c r="G12" s="5">
        <f>39630+táj4!E12</f>
        <v>39630</v>
      </c>
      <c r="H12" s="5">
        <f>73433+táj4!F12</f>
        <v>73238</v>
      </c>
      <c r="I12" s="5">
        <f>0+táj4!G12</f>
        <v>0</v>
      </c>
      <c r="J12" s="5">
        <f>0+táj4!H12</f>
        <v>0</v>
      </c>
      <c r="K12" s="5">
        <f>500+táj4!I12</f>
        <v>500</v>
      </c>
      <c r="L12" s="5">
        <f>0+táj4!J12</f>
        <v>195</v>
      </c>
      <c r="M12" s="5">
        <f>0+táj4!K12</f>
        <v>0</v>
      </c>
      <c r="N12" s="5">
        <f>0+táj4!L12</f>
        <v>0</v>
      </c>
      <c r="O12" s="131">
        <f t="shared" si="0"/>
        <v>375385</v>
      </c>
    </row>
    <row r="13" spans="1:15" s="29" customFormat="1" ht="18.75" customHeight="1" x14ac:dyDescent="0.25">
      <c r="A13" s="129"/>
      <c r="B13" s="688">
        <v>10</v>
      </c>
      <c r="C13" s="124" t="s">
        <v>187</v>
      </c>
      <c r="D13" s="712">
        <v>66784</v>
      </c>
      <c r="E13" s="714">
        <f>0+táj4!M13</f>
        <v>0</v>
      </c>
      <c r="F13" s="5">
        <f>56478+táj4!D13</f>
        <v>56478</v>
      </c>
      <c r="G13" s="5">
        <f>7570+táj4!E13</f>
        <v>7570</v>
      </c>
      <c r="H13" s="5">
        <f>2686+táj4!F13</f>
        <v>2686</v>
      </c>
      <c r="I13" s="5">
        <f>0+táj4!G13</f>
        <v>0</v>
      </c>
      <c r="J13" s="5">
        <f>0+táj4!H13</f>
        <v>0</v>
      </c>
      <c r="K13" s="5">
        <f>50+táj4!I13</f>
        <v>50</v>
      </c>
      <c r="L13" s="5">
        <f>0+táj4!J13</f>
        <v>0</v>
      </c>
      <c r="M13" s="5">
        <f>0+táj4!K13</f>
        <v>0</v>
      </c>
      <c r="N13" s="5">
        <f>0+táj4!L13</f>
        <v>0</v>
      </c>
      <c r="O13" s="131">
        <f t="shared" si="0"/>
        <v>66784</v>
      </c>
    </row>
    <row r="14" spans="1:15" s="29" customFormat="1" ht="14.1" customHeight="1" x14ac:dyDescent="0.25">
      <c r="A14" s="129"/>
      <c r="B14" s="688">
        <v>11</v>
      </c>
      <c r="C14" s="125" t="s">
        <v>152</v>
      </c>
      <c r="D14" s="713">
        <v>486129</v>
      </c>
      <c r="E14" s="714">
        <f>0+táj4!M14</f>
        <v>12540</v>
      </c>
      <c r="F14" s="5">
        <f>223694+táj4!D14</f>
        <v>223694</v>
      </c>
      <c r="G14" s="5">
        <f>29424+táj4!E14</f>
        <v>29424</v>
      </c>
      <c r="H14" s="5">
        <f>229211+táj4!F14</f>
        <v>229211</v>
      </c>
      <c r="I14" s="5">
        <f>0+táj4!G14</f>
        <v>0</v>
      </c>
      <c r="J14" s="5">
        <f>0+táj4!H14</f>
        <v>0</v>
      </c>
      <c r="K14" s="5">
        <f>3800+táj4!I14</f>
        <v>16340</v>
      </c>
      <c r="L14" s="5">
        <f>0+táj4!J14</f>
        <v>0</v>
      </c>
      <c r="M14" s="5">
        <f>0+táj4!K14</f>
        <v>0</v>
      </c>
      <c r="N14" s="5">
        <f>0+táj4!L14</f>
        <v>0</v>
      </c>
      <c r="O14" s="131">
        <f t="shared" si="0"/>
        <v>498669</v>
      </c>
    </row>
    <row r="15" spans="1:15" s="29" customFormat="1" ht="24.75" customHeight="1" x14ac:dyDescent="0.25">
      <c r="A15" s="129"/>
      <c r="B15" s="688">
        <v>12</v>
      </c>
      <c r="C15" s="122" t="s">
        <v>160</v>
      </c>
      <c r="D15" s="710">
        <v>24245</v>
      </c>
      <c r="E15" s="714">
        <f>0+táj4!M15</f>
        <v>0</v>
      </c>
      <c r="F15" s="5">
        <f>18304+táj4!D15</f>
        <v>18304</v>
      </c>
      <c r="G15" s="5">
        <f>2485+táj4!E15</f>
        <v>2485</v>
      </c>
      <c r="H15" s="5">
        <f>3276+táj4!F15</f>
        <v>3276</v>
      </c>
      <c r="I15" s="5">
        <f>0+táj4!G15</f>
        <v>0</v>
      </c>
      <c r="J15" s="5">
        <f>0+táj4!H15</f>
        <v>0</v>
      </c>
      <c r="K15" s="5">
        <f>180+táj4!I15</f>
        <v>180</v>
      </c>
      <c r="L15" s="5">
        <f>0+táj4!J15</f>
        <v>0</v>
      </c>
      <c r="M15" s="5">
        <f>0+táj4!K15</f>
        <v>0</v>
      </c>
      <c r="N15" s="5">
        <f>0+táj4!L15</f>
        <v>0</v>
      </c>
      <c r="O15" s="131">
        <f t="shared" si="0"/>
        <v>24245</v>
      </c>
    </row>
    <row r="16" spans="1:15" s="29" customFormat="1" ht="14.1" customHeight="1" x14ac:dyDescent="0.25">
      <c r="A16" s="129"/>
      <c r="B16" s="688">
        <v>13</v>
      </c>
      <c r="C16" s="123" t="s">
        <v>153</v>
      </c>
      <c r="D16" s="711">
        <v>492549</v>
      </c>
      <c r="E16" s="714">
        <f>0+táj4!M16</f>
        <v>0</v>
      </c>
      <c r="F16" s="5">
        <f>243037+táj4!D16</f>
        <v>243037</v>
      </c>
      <c r="G16" s="5">
        <f>32002+táj4!E16</f>
        <v>32002</v>
      </c>
      <c r="H16" s="5">
        <f>149700+táj4!F16</f>
        <v>149700</v>
      </c>
      <c r="I16" s="5">
        <f>0+táj4!G16</f>
        <v>0</v>
      </c>
      <c r="J16" s="5">
        <f>18000+táj4!H16</f>
        <v>18000</v>
      </c>
      <c r="K16" s="5">
        <f>48810+táj4!I16</f>
        <v>48810</v>
      </c>
      <c r="L16" s="5">
        <f>1000+táj4!J16</f>
        <v>1000</v>
      </c>
      <c r="M16" s="5">
        <f>0+táj4!K16</f>
        <v>0</v>
      </c>
      <c r="N16" s="5">
        <f>0+táj4!L16</f>
        <v>0</v>
      </c>
      <c r="O16" s="131">
        <f t="shared" si="0"/>
        <v>492549</v>
      </c>
    </row>
    <row r="17" spans="1:15" s="29" customFormat="1" ht="14.1" customHeight="1" x14ac:dyDescent="0.25">
      <c r="A17" s="129"/>
      <c r="B17" s="688">
        <v>14</v>
      </c>
      <c r="C17" s="123" t="s">
        <v>154</v>
      </c>
      <c r="D17" s="711">
        <v>683147</v>
      </c>
      <c r="E17" s="714">
        <f>0+táj4!M17</f>
        <v>1920</v>
      </c>
      <c r="F17" s="5">
        <f>310399+táj4!D17</f>
        <v>310399</v>
      </c>
      <c r="G17" s="5">
        <f>46548+táj4!E17</f>
        <v>46548</v>
      </c>
      <c r="H17" s="5">
        <f>274030+táj4!F17</f>
        <v>274036</v>
      </c>
      <c r="I17" s="5">
        <f>0+táj4!G17</f>
        <v>0</v>
      </c>
      <c r="J17" s="5">
        <f>27989+táj4!H17</f>
        <v>29903</v>
      </c>
      <c r="K17" s="5">
        <f>24181+táj4!I17</f>
        <v>24181</v>
      </c>
      <c r="L17" s="5">
        <f>0+táj4!J17</f>
        <v>0</v>
      </c>
      <c r="M17" s="5">
        <f>0+táj4!K17</f>
        <v>0</v>
      </c>
      <c r="N17" s="5">
        <f>0+táj4!L17</f>
        <v>0</v>
      </c>
      <c r="O17" s="131">
        <f t="shared" si="0"/>
        <v>685067</v>
      </c>
    </row>
    <row r="18" spans="1:15" s="29" customFormat="1" ht="12.9" customHeight="1" x14ac:dyDescent="0.25">
      <c r="A18" s="129"/>
      <c r="B18" s="688">
        <v>15</v>
      </c>
      <c r="C18" s="123" t="s">
        <v>161</v>
      </c>
      <c r="D18" s="711">
        <v>846700</v>
      </c>
      <c r="E18" s="714">
        <f>0+táj4!M18</f>
        <v>0</v>
      </c>
      <c r="F18" s="5">
        <f>567990+táj4!D18</f>
        <v>567990</v>
      </c>
      <c r="G18" s="5">
        <f>78280+táj4!E18</f>
        <v>78280</v>
      </c>
      <c r="H18" s="5">
        <f>198430+táj4!F18</f>
        <v>198430</v>
      </c>
      <c r="I18" s="5">
        <f>0+táj4!G18</f>
        <v>0</v>
      </c>
      <c r="J18" s="5">
        <f>0+táj4!H18</f>
        <v>0</v>
      </c>
      <c r="K18" s="5">
        <f>2000+táj4!I18</f>
        <v>2000</v>
      </c>
      <c r="L18" s="5">
        <f>0+táj4!J18</f>
        <v>0</v>
      </c>
      <c r="M18" s="5">
        <f>0+táj4!K18</f>
        <v>0</v>
      </c>
      <c r="N18" s="5">
        <f>0+táj4!L18</f>
        <v>0</v>
      </c>
      <c r="O18" s="131">
        <f t="shared" si="0"/>
        <v>846700</v>
      </c>
    </row>
    <row r="19" spans="1:15" s="29" customFormat="1" ht="12.9" customHeight="1" x14ac:dyDescent="0.25">
      <c r="A19" s="129"/>
      <c r="B19" s="688">
        <v>16</v>
      </c>
      <c r="C19" s="123" t="s">
        <v>162</v>
      </c>
      <c r="D19" s="711">
        <v>192072</v>
      </c>
      <c r="E19" s="714">
        <f>0+táj4!M19</f>
        <v>0</v>
      </c>
      <c r="F19" s="5">
        <f>90514+táj4!D19</f>
        <v>90514</v>
      </c>
      <c r="G19" s="5">
        <f>11710+táj4!E19</f>
        <v>11710</v>
      </c>
      <c r="H19" s="5">
        <f>71848+táj4!F19</f>
        <v>61848</v>
      </c>
      <c r="I19" s="5">
        <f>0+táj4!G19</f>
        <v>0</v>
      </c>
      <c r="J19" s="5">
        <f>0+táj4!H19</f>
        <v>0</v>
      </c>
      <c r="K19" s="5">
        <f>18000+táj4!I19</f>
        <v>28000</v>
      </c>
      <c r="L19" s="5">
        <f>0+táj4!J19</f>
        <v>0</v>
      </c>
      <c r="M19" s="5">
        <f>0+táj4!K19</f>
        <v>0</v>
      </c>
      <c r="N19" s="5">
        <f>0+táj4!L19</f>
        <v>0</v>
      </c>
      <c r="O19" s="131">
        <f t="shared" si="0"/>
        <v>192072</v>
      </c>
    </row>
    <row r="20" spans="1:15" s="29" customFormat="1" ht="15.75" customHeight="1" x14ac:dyDescent="0.25">
      <c r="A20" s="129"/>
      <c r="B20" s="688">
        <v>17</v>
      </c>
      <c r="C20" s="123" t="s">
        <v>188</v>
      </c>
      <c r="D20" s="711">
        <v>164751</v>
      </c>
      <c r="E20" s="714">
        <f>0+táj4!M20</f>
        <v>0</v>
      </c>
      <c r="F20" s="87">
        <f>81266+táj4!D20</f>
        <v>81266</v>
      </c>
      <c r="G20" s="87">
        <f>10685+táj4!E20</f>
        <v>10685</v>
      </c>
      <c r="H20" s="87">
        <f>70800+táj4!F20</f>
        <v>70800</v>
      </c>
      <c r="I20" s="87">
        <f>0+táj4!G20</f>
        <v>0</v>
      </c>
      <c r="J20" s="87">
        <f>0+táj4!H20</f>
        <v>0</v>
      </c>
      <c r="K20" s="87">
        <f>2000+táj4!I20</f>
        <v>2000</v>
      </c>
      <c r="L20" s="87">
        <f>0+táj4!J20</f>
        <v>0</v>
      </c>
      <c r="M20" s="87">
        <f>0+táj4!K20</f>
        <v>0</v>
      </c>
      <c r="N20" s="87">
        <f>0+táj4!L20</f>
        <v>0</v>
      </c>
      <c r="O20" s="131">
        <f t="shared" si="0"/>
        <v>164751</v>
      </c>
    </row>
    <row r="21" spans="1:15" s="1" customFormat="1" ht="12" x14ac:dyDescent="0.25">
      <c r="A21" s="129"/>
      <c r="B21" s="688">
        <v>18</v>
      </c>
      <c r="C21" s="123" t="s">
        <v>191</v>
      </c>
      <c r="D21" s="711">
        <v>158432</v>
      </c>
      <c r="E21" s="714">
        <f>0+táj4!M21</f>
        <v>0</v>
      </c>
      <c r="F21" s="10">
        <f>67315+táj4!D21</f>
        <v>67315</v>
      </c>
      <c r="G21" s="10">
        <f>9002+táj4!E21</f>
        <v>9002</v>
      </c>
      <c r="H21" s="10">
        <f>76845+táj4!F21</f>
        <v>76845</v>
      </c>
      <c r="I21" s="10">
        <f>0+táj4!G21</f>
        <v>0</v>
      </c>
      <c r="J21" s="10">
        <f>0+táj4!H21</f>
        <v>0</v>
      </c>
      <c r="K21" s="10">
        <f>5270+táj4!I21</f>
        <v>5270</v>
      </c>
      <c r="L21" s="10">
        <f>0+táj4!J21</f>
        <v>0</v>
      </c>
      <c r="M21" s="10">
        <f>0+táj4!K21</f>
        <v>0</v>
      </c>
      <c r="N21" s="10">
        <f>0+táj4!L21</f>
        <v>0</v>
      </c>
      <c r="O21" s="131">
        <f t="shared" si="0"/>
        <v>158432</v>
      </c>
    </row>
    <row r="22" spans="1:15" s="1" customFormat="1" ht="12" x14ac:dyDescent="0.25">
      <c r="A22" s="132"/>
      <c r="B22" s="695"/>
      <c r="C22" s="133" t="s">
        <v>13</v>
      </c>
      <c r="D22" s="89">
        <f t="shared" ref="D22:O22" si="1">SUM(D4:D21)</f>
        <v>9393633</v>
      </c>
      <c r="E22" s="89">
        <f t="shared" si="1"/>
        <v>32652</v>
      </c>
      <c r="F22" s="89">
        <f t="shared" si="1"/>
        <v>5413460</v>
      </c>
      <c r="G22" s="89">
        <f t="shared" si="1"/>
        <v>779398</v>
      </c>
      <c r="H22" s="89">
        <f t="shared" si="1"/>
        <v>2970861</v>
      </c>
      <c r="I22" s="89">
        <f t="shared" si="1"/>
        <v>7100</v>
      </c>
      <c r="J22" s="89">
        <f t="shared" si="1"/>
        <v>48443</v>
      </c>
      <c r="K22" s="89">
        <f t="shared" si="1"/>
        <v>205828</v>
      </c>
      <c r="L22" s="89">
        <f t="shared" si="1"/>
        <v>1195</v>
      </c>
      <c r="M22" s="89">
        <f t="shared" si="1"/>
        <v>0</v>
      </c>
      <c r="N22" s="89">
        <f t="shared" si="1"/>
        <v>0</v>
      </c>
      <c r="O22" s="89">
        <f t="shared" si="1"/>
        <v>9426285</v>
      </c>
    </row>
    <row r="23" spans="1:15" s="1" customFormat="1" x14ac:dyDescent="0.25">
      <c r="O23" s="20"/>
    </row>
    <row r="24" spans="1:15" s="1" customFormat="1" x14ac:dyDescent="0.25">
      <c r="C24" s="15"/>
      <c r="D24" s="15"/>
      <c r="E24" s="15"/>
      <c r="O24" s="20"/>
    </row>
    <row r="25" spans="1:15" s="1" customFormat="1" x14ac:dyDescent="0.25">
      <c r="O25" s="20"/>
    </row>
    <row r="26" spans="1:15" s="1" customFormat="1" x14ac:dyDescent="0.25">
      <c r="O26" s="20"/>
    </row>
    <row r="27" spans="1:15" s="1" customFormat="1" x14ac:dyDescent="0.25">
      <c r="F27" s="15"/>
      <c r="O27" s="20"/>
    </row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1" orientation="landscape" r:id="rId1"/>
  <headerFooter alignWithMargins="0">
    <oddHeader>&amp;C&amp;"Times New Roman CE,Félkövér dőlt"ZALAEGERSZEG MEGYEI JOGÚ VÁROS ÖNKORMÁNYZATA ÁLTAL IRÁNYÍTOTT KÖLTSÉGVETÉSI SZERVEK 
2022.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59"/>
  <sheetViews>
    <sheetView zoomScale="96" zoomScaleNormal="96" workbookViewId="0">
      <pane ySplit="2" topLeftCell="A15" activePane="bottomLeft" state="frozen"/>
      <selection pane="bottomLeft" activeCell="A132" sqref="A132:XFD132"/>
    </sheetView>
  </sheetViews>
  <sheetFormatPr defaultRowHeight="12.6" x14ac:dyDescent="0.25"/>
  <cols>
    <col min="1" max="1" width="5.33203125" style="138" customWidth="1"/>
    <col min="2" max="2" width="5.44140625" style="138" customWidth="1"/>
    <col min="3" max="3" width="40.77734375" style="138" customWidth="1"/>
    <col min="4" max="4" width="10.77734375" style="288" customWidth="1"/>
    <col min="5" max="5" width="13" style="138" customWidth="1"/>
    <col min="6" max="6" width="13.109375" style="138" customWidth="1"/>
    <col min="7" max="7" width="12.33203125" style="138" customWidth="1"/>
    <col min="8" max="8" width="11.33203125" style="138" customWidth="1"/>
    <col min="9" max="9" width="11.77734375" style="138" customWidth="1"/>
    <col min="10" max="10" width="10.77734375" style="138" customWidth="1"/>
    <col min="11" max="11" width="13.109375" style="138" customWidth="1"/>
    <col min="12" max="12" width="11.44140625" style="138" customWidth="1"/>
    <col min="13" max="14" width="12.33203125" style="138" customWidth="1"/>
    <col min="15" max="15" width="13.109375" style="138" customWidth="1"/>
    <col min="16" max="16" width="12.33203125" style="138" customWidth="1"/>
    <col min="17" max="255" width="8.77734375" style="138"/>
    <col min="256" max="256" width="5.33203125" style="138" customWidth="1"/>
    <col min="257" max="257" width="5.44140625" style="138" customWidth="1"/>
    <col min="258" max="258" width="40.77734375" style="138" customWidth="1"/>
    <col min="259" max="259" width="9.77734375" style="138" customWidth="1"/>
    <col min="260" max="260" width="13" style="138" customWidth="1"/>
    <col min="261" max="261" width="13.109375" style="138" customWidth="1"/>
    <col min="262" max="262" width="12.33203125" style="138" customWidth="1"/>
    <col min="263" max="263" width="11.33203125" style="138" customWidth="1"/>
    <col min="264" max="264" width="11.77734375" style="138" customWidth="1"/>
    <col min="265" max="265" width="10.77734375" style="138" customWidth="1"/>
    <col min="266" max="266" width="13.109375" style="138" customWidth="1"/>
    <col min="267" max="267" width="11.44140625" style="138" customWidth="1"/>
    <col min="268" max="269" width="12.33203125" style="138" customWidth="1"/>
    <col min="270" max="270" width="13.109375" style="138" customWidth="1"/>
    <col min="271" max="271" width="18.44140625" style="138" customWidth="1"/>
    <col min="272" max="272" width="7.33203125" style="138" customWidth="1"/>
    <col min="273" max="511" width="8.77734375" style="138"/>
    <col min="512" max="512" width="5.33203125" style="138" customWidth="1"/>
    <col min="513" max="513" width="5.44140625" style="138" customWidth="1"/>
    <col min="514" max="514" width="40.77734375" style="138" customWidth="1"/>
    <col min="515" max="515" width="9.77734375" style="138" customWidth="1"/>
    <col min="516" max="516" width="13" style="138" customWidth="1"/>
    <col min="517" max="517" width="13.109375" style="138" customWidth="1"/>
    <col min="518" max="518" width="12.33203125" style="138" customWidth="1"/>
    <col min="519" max="519" width="11.33203125" style="138" customWidth="1"/>
    <col min="520" max="520" width="11.77734375" style="138" customWidth="1"/>
    <col min="521" max="521" width="10.77734375" style="138" customWidth="1"/>
    <col min="522" max="522" width="13.109375" style="138" customWidth="1"/>
    <col min="523" max="523" width="11.44140625" style="138" customWidth="1"/>
    <col min="524" max="525" width="12.33203125" style="138" customWidth="1"/>
    <col min="526" max="526" width="13.109375" style="138" customWidth="1"/>
    <col min="527" max="527" width="18.44140625" style="138" customWidth="1"/>
    <col min="528" max="528" width="7.33203125" style="138" customWidth="1"/>
    <col min="529" max="767" width="8.77734375" style="138"/>
    <col min="768" max="768" width="5.33203125" style="138" customWidth="1"/>
    <col min="769" max="769" width="5.44140625" style="138" customWidth="1"/>
    <col min="770" max="770" width="40.77734375" style="138" customWidth="1"/>
    <col min="771" max="771" width="9.77734375" style="138" customWidth="1"/>
    <col min="772" max="772" width="13" style="138" customWidth="1"/>
    <col min="773" max="773" width="13.109375" style="138" customWidth="1"/>
    <col min="774" max="774" width="12.33203125" style="138" customWidth="1"/>
    <col min="775" max="775" width="11.33203125" style="138" customWidth="1"/>
    <col min="776" max="776" width="11.77734375" style="138" customWidth="1"/>
    <col min="777" max="777" width="10.77734375" style="138" customWidth="1"/>
    <col min="778" max="778" width="13.109375" style="138" customWidth="1"/>
    <col min="779" max="779" width="11.44140625" style="138" customWidth="1"/>
    <col min="780" max="781" width="12.33203125" style="138" customWidth="1"/>
    <col min="782" max="782" width="13.109375" style="138" customWidth="1"/>
    <col min="783" max="783" width="18.44140625" style="138" customWidth="1"/>
    <col min="784" max="784" width="7.33203125" style="138" customWidth="1"/>
    <col min="785" max="1023" width="8.77734375" style="138"/>
    <col min="1024" max="1024" width="5.33203125" style="138" customWidth="1"/>
    <col min="1025" max="1025" width="5.44140625" style="138" customWidth="1"/>
    <col min="1026" max="1026" width="40.77734375" style="138" customWidth="1"/>
    <col min="1027" max="1027" width="9.77734375" style="138" customWidth="1"/>
    <col min="1028" max="1028" width="13" style="138" customWidth="1"/>
    <col min="1029" max="1029" width="13.109375" style="138" customWidth="1"/>
    <col min="1030" max="1030" width="12.33203125" style="138" customWidth="1"/>
    <col min="1031" max="1031" width="11.33203125" style="138" customWidth="1"/>
    <col min="1032" max="1032" width="11.77734375" style="138" customWidth="1"/>
    <col min="1033" max="1033" width="10.77734375" style="138" customWidth="1"/>
    <col min="1034" max="1034" width="13.109375" style="138" customWidth="1"/>
    <col min="1035" max="1035" width="11.44140625" style="138" customWidth="1"/>
    <col min="1036" max="1037" width="12.33203125" style="138" customWidth="1"/>
    <col min="1038" max="1038" width="13.109375" style="138" customWidth="1"/>
    <col min="1039" max="1039" width="18.44140625" style="138" customWidth="1"/>
    <col min="1040" max="1040" width="7.33203125" style="138" customWidth="1"/>
    <col min="1041" max="1279" width="8.77734375" style="138"/>
    <col min="1280" max="1280" width="5.33203125" style="138" customWidth="1"/>
    <col min="1281" max="1281" width="5.44140625" style="138" customWidth="1"/>
    <col min="1282" max="1282" width="40.77734375" style="138" customWidth="1"/>
    <col min="1283" max="1283" width="9.77734375" style="138" customWidth="1"/>
    <col min="1284" max="1284" width="13" style="138" customWidth="1"/>
    <col min="1285" max="1285" width="13.109375" style="138" customWidth="1"/>
    <col min="1286" max="1286" width="12.33203125" style="138" customWidth="1"/>
    <col min="1287" max="1287" width="11.33203125" style="138" customWidth="1"/>
    <col min="1288" max="1288" width="11.77734375" style="138" customWidth="1"/>
    <col min="1289" max="1289" width="10.77734375" style="138" customWidth="1"/>
    <col min="1290" max="1290" width="13.109375" style="138" customWidth="1"/>
    <col min="1291" max="1291" width="11.44140625" style="138" customWidth="1"/>
    <col min="1292" max="1293" width="12.33203125" style="138" customWidth="1"/>
    <col min="1294" max="1294" width="13.109375" style="138" customWidth="1"/>
    <col min="1295" max="1295" width="18.44140625" style="138" customWidth="1"/>
    <col min="1296" max="1296" width="7.33203125" style="138" customWidth="1"/>
    <col min="1297" max="1535" width="8.77734375" style="138"/>
    <col min="1536" max="1536" width="5.33203125" style="138" customWidth="1"/>
    <col min="1537" max="1537" width="5.44140625" style="138" customWidth="1"/>
    <col min="1538" max="1538" width="40.77734375" style="138" customWidth="1"/>
    <col min="1539" max="1539" width="9.77734375" style="138" customWidth="1"/>
    <col min="1540" max="1540" width="13" style="138" customWidth="1"/>
    <col min="1541" max="1541" width="13.109375" style="138" customWidth="1"/>
    <col min="1542" max="1542" width="12.33203125" style="138" customWidth="1"/>
    <col min="1543" max="1543" width="11.33203125" style="138" customWidth="1"/>
    <col min="1544" max="1544" width="11.77734375" style="138" customWidth="1"/>
    <col min="1545" max="1545" width="10.77734375" style="138" customWidth="1"/>
    <col min="1546" max="1546" width="13.109375" style="138" customWidth="1"/>
    <col min="1547" max="1547" width="11.44140625" style="138" customWidth="1"/>
    <col min="1548" max="1549" width="12.33203125" style="138" customWidth="1"/>
    <col min="1550" max="1550" width="13.109375" style="138" customWidth="1"/>
    <col min="1551" max="1551" width="18.44140625" style="138" customWidth="1"/>
    <col min="1552" max="1552" width="7.33203125" style="138" customWidth="1"/>
    <col min="1553" max="1791" width="8.77734375" style="138"/>
    <col min="1792" max="1792" width="5.33203125" style="138" customWidth="1"/>
    <col min="1793" max="1793" width="5.44140625" style="138" customWidth="1"/>
    <col min="1794" max="1794" width="40.77734375" style="138" customWidth="1"/>
    <col min="1795" max="1795" width="9.77734375" style="138" customWidth="1"/>
    <col min="1796" max="1796" width="13" style="138" customWidth="1"/>
    <col min="1797" max="1797" width="13.109375" style="138" customWidth="1"/>
    <col min="1798" max="1798" width="12.33203125" style="138" customWidth="1"/>
    <col min="1799" max="1799" width="11.33203125" style="138" customWidth="1"/>
    <col min="1800" max="1800" width="11.77734375" style="138" customWidth="1"/>
    <col min="1801" max="1801" width="10.77734375" style="138" customWidth="1"/>
    <col min="1802" max="1802" width="13.109375" style="138" customWidth="1"/>
    <col min="1803" max="1803" width="11.44140625" style="138" customWidth="1"/>
    <col min="1804" max="1805" width="12.33203125" style="138" customWidth="1"/>
    <col min="1806" max="1806" width="13.109375" style="138" customWidth="1"/>
    <col min="1807" max="1807" width="18.44140625" style="138" customWidth="1"/>
    <col min="1808" max="1808" width="7.33203125" style="138" customWidth="1"/>
    <col min="1809" max="2047" width="8.77734375" style="138"/>
    <col min="2048" max="2048" width="5.33203125" style="138" customWidth="1"/>
    <col min="2049" max="2049" width="5.44140625" style="138" customWidth="1"/>
    <col min="2050" max="2050" width="40.77734375" style="138" customWidth="1"/>
    <col min="2051" max="2051" width="9.77734375" style="138" customWidth="1"/>
    <col min="2052" max="2052" width="13" style="138" customWidth="1"/>
    <col min="2053" max="2053" width="13.109375" style="138" customWidth="1"/>
    <col min="2054" max="2054" width="12.33203125" style="138" customWidth="1"/>
    <col min="2055" max="2055" width="11.33203125" style="138" customWidth="1"/>
    <col min="2056" max="2056" width="11.77734375" style="138" customWidth="1"/>
    <col min="2057" max="2057" width="10.77734375" style="138" customWidth="1"/>
    <col min="2058" max="2058" width="13.109375" style="138" customWidth="1"/>
    <col min="2059" max="2059" width="11.44140625" style="138" customWidth="1"/>
    <col min="2060" max="2061" width="12.33203125" style="138" customWidth="1"/>
    <col min="2062" max="2062" width="13.109375" style="138" customWidth="1"/>
    <col min="2063" max="2063" width="18.44140625" style="138" customWidth="1"/>
    <col min="2064" max="2064" width="7.33203125" style="138" customWidth="1"/>
    <col min="2065" max="2303" width="8.77734375" style="138"/>
    <col min="2304" max="2304" width="5.33203125" style="138" customWidth="1"/>
    <col min="2305" max="2305" width="5.44140625" style="138" customWidth="1"/>
    <col min="2306" max="2306" width="40.77734375" style="138" customWidth="1"/>
    <col min="2307" max="2307" width="9.77734375" style="138" customWidth="1"/>
    <col min="2308" max="2308" width="13" style="138" customWidth="1"/>
    <col min="2309" max="2309" width="13.109375" style="138" customWidth="1"/>
    <col min="2310" max="2310" width="12.33203125" style="138" customWidth="1"/>
    <col min="2311" max="2311" width="11.33203125" style="138" customWidth="1"/>
    <col min="2312" max="2312" width="11.77734375" style="138" customWidth="1"/>
    <col min="2313" max="2313" width="10.77734375" style="138" customWidth="1"/>
    <col min="2314" max="2314" width="13.109375" style="138" customWidth="1"/>
    <col min="2315" max="2315" width="11.44140625" style="138" customWidth="1"/>
    <col min="2316" max="2317" width="12.33203125" style="138" customWidth="1"/>
    <col min="2318" max="2318" width="13.109375" style="138" customWidth="1"/>
    <col min="2319" max="2319" width="18.44140625" style="138" customWidth="1"/>
    <col min="2320" max="2320" width="7.33203125" style="138" customWidth="1"/>
    <col min="2321" max="2559" width="8.77734375" style="138"/>
    <col min="2560" max="2560" width="5.33203125" style="138" customWidth="1"/>
    <col min="2561" max="2561" width="5.44140625" style="138" customWidth="1"/>
    <col min="2562" max="2562" width="40.77734375" style="138" customWidth="1"/>
    <col min="2563" max="2563" width="9.77734375" style="138" customWidth="1"/>
    <col min="2564" max="2564" width="13" style="138" customWidth="1"/>
    <col min="2565" max="2565" width="13.109375" style="138" customWidth="1"/>
    <col min="2566" max="2566" width="12.33203125" style="138" customWidth="1"/>
    <col min="2567" max="2567" width="11.33203125" style="138" customWidth="1"/>
    <col min="2568" max="2568" width="11.77734375" style="138" customWidth="1"/>
    <col min="2569" max="2569" width="10.77734375" style="138" customWidth="1"/>
    <col min="2570" max="2570" width="13.109375" style="138" customWidth="1"/>
    <col min="2571" max="2571" width="11.44140625" style="138" customWidth="1"/>
    <col min="2572" max="2573" width="12.33203125" style="138" customWidth="1"/>
    <col min="2574" max="2574" width="13.109375" style="138" customWidth="1"/>
    <col min="2575" max="2575" width="18.44140625" style="138" customWidth="1"/>
    <col min="2576" max="2576" width="7.33203125" style="138" customWidth="1"/>
    <col min="2577" max="2815" width="8.77734375" style="138"/>
    <col min="2816" max="2816" width="5.33203125" style="138" customWidth="1"/>
    <col min="2817" max="2817" width="5.44140625" style="138" customWidth="1"/>
    <col min="2818" max="2818" width="40.77734375" style="138" customWidth="1"/>
    <col min="2819" max="2819" width="9.77734375" style="138" customWidth="1"/>
    <col min="2820" max="2820" width="13" style="138" customWidth="1"/>
    <col min="2821" max="2821" width="13.109375" style="138" customWidth="1"/>
    <col min="2822" max="2822" width="12.33203125" style="138" customWidth="1"/>
    <col min="2823" max="2823" width="11.33203125" style="138" customWidth="1"/>
    <col min="2824" max="2824" width="11.77734375" style="138" customWidth="1"/>
    <col min="2825" max="2825" width="10.77734375" style="138" customWidth="1"/>
    <col min="2826" max="2826" width="13.109375" style="138" customWidth="1"/>
    <col min="2827" max="2827" width="11.44140625" style="138" customWidth="1"/>
    <col min="2828" max="2829" width="12.33203125" style="138" customWidth="1"/>
    <col min="2830" max="2830" width="13.109375" style="138" customWidth="1"/>
    <col min="2831" max="2831" width="18.44140625" style="138" customWidth="1"/>
    <col min="2832" max="2832" width="7.33203125" style="138" customWidth="1"/>
    <col min="2833" max="3071" width="8.77734375" style="138"/>
    <col min="3072" max="3072" width="5.33203125" style="138" customWidth="1"/>
    <col min="3073" max="3073" width="5.44140625" style="138" customWidth="1"/>
    <col min="3074" max="3074" width="40.77734375" style="138" customWidth="1"/>
    <col min="3075" max="3075" width="9.77734375" style="138" customWidth="1"/>
    <col min="3076" max="3076" width="13" style="138" customWidth="1"/>
    <col min="3077" max="3077" width="13.109375" style="138" customWidth="1"/>
    <col min="3078" max="3078" width="12.33203125" style="138" customWidth="1"/>
    <col min="3079" max="3079" width="11.33203125" style="138" customWidth="1"/>
    <col min="3080" max="3080" width="11.77734375" style="138" customWidth="1"/>
    <col min="3081" max="3081" width="10.77734375" style="138" customWidth="1"/>
    <col min="3082" max="3082" width="13.109375" style="138" customWidth="1"/>
    <col min="3083" max="3083" width="11.44140625" style="138" customWidth="1"/>
    <col min="3084" max="3085" width="12.33203125" style="138" customWidth="1"/>
    <col min="3086" max="3086" width="13.109375" style="138" customWidth="1"/>
    <col min="3087" max="3087" width="18.44140625" style="138" customWidth="1"/>
    <col min="3088" max="3088" width="7.33203125" style="138" customWidth="1"/>
    <col min="3089" max="3327" width="8.77734375" style="138"/>
    <col min="3328" max="3328" width="5.33203125" style="138" customWidth="1"/>
    <col min="3329" max="3329" width="5.44140625" style="138" customWidth="1"/>
    <col min="3330" max="3330" width="40.77734375" style="138" customWidth="1"/>
    <col min="3331" max="3331" width="9.77734375" style="138" customWidth="1"/>
    <col min="3332" max="3332" width="13" style="138" customWidth="1"/>
    <col min="3333" max="3333" width="13.109375" style="138" customWidth="1"/>
    <col min="3334" max="3334" width="12.33203125" style="138" customWidth="1"/>
    <col min="3335" max="3335" width="11.33203125" style="138" customWidth="1"/>
    <col min="3336" max="3336" width="11.77734375" style="138" customWidth="1"/>
    <col min="3337" max="3337" width="10.77734375" style="138" customWidth="1"/>
    <col min="3338" max="3338" width="13.109375" style="138" customWidth="1"/>
    <col min="3339" max="3339" width="11.44140625" style="138" customWidth="1"/>
    <col min="3340" max="3341" width="12.33203125" style="138" customWidth="1"/>
    <col min="3342" max="3342" width="13.109375" style="138" customWidth="1"/>
    <col min="3343" max="3343" width="18.44140625" style="138" customWidth="1"/>
    <col min="3344" max="3344" width="7.33203125" style="138" customWidth="1"/>
    <col min="3345" max="3583" width="8.77734375" style="138"/>
    <col min="3584" max="3584" width="5.33203125" style="138" customWidth="1"/>
    <col min="3585" max="3585" width="5.44140625" style="138" customWidth="1"/>
    <col min="3586" max="3586" width="40.77734375" style="138" customWidth="1"/>
    <col min="3587" max="3587" width="9.77734375" style="138" customWidth="1"/>
    <col min="3588" max="3588" width="13" style="138" customWidth="1"/>
    <col min="3589" max="3589" width="13.109375" style="138" customWidth="1"/>
    <col min="3590" max="3590" width="12.33203125" style="138" customWidth="1"/>
    <col min="3591" max="3591" width="11.33203125" style="138" customWidth="1"/>
    <col min="3592" max="3592" width="11.77734375" style="138" customWidth="1"/>
    <col min="3593" max="3593" width="10.77734375" style="138" customWidth="1"/>
    <col min="3594" max="3594" width="13.109375" style="138" customWidth="1"/>
    <col min="3595" max="3595" width="11.44140625" style="138" customWidth="1"/>
    <col min="3596" max="3597" width="12.33203125" style="138" customWidth="1"/>
    <col min="3598" max="3598" width="13.109375" style="138" customWidth="1"/>
    <col min="3599" max="3599" width="18.44140625" style="138" customWidth="1"/>
    <col min="3600" max="3600" width="7.33203125" style="138" customWidth="1"/>
    <col min="3601" max="3839" width="8.77734375" style="138"/>
    <col min="3840" max="3840" width="5.33203125" style="138" customWidth="1"/>
    <col min="3841" max="3841" width="5.44140625" style="138" customWidth="1"/>
    <col min="3842" max="3842" width="40.77734375" style="138" customWidth="1"/>
    <col min="3843" max="3843" width="9.77734375" style="138" customWidth="1"/>
    <col min="3844" max="3844" width="13" style="138" customWidth="1"/>
    <col min="3845" max="3845" width="13.109375" style="138" customWidth="1"/>
    <col min="3846" max="3846" width="12.33203125" style="138" customWidth="1"/>
    <col min="3847" max="3847" width="11.33203125" style="138" customWidth="1"/>
    <col min="3848" max="3848" width="11.77734375" style="138" customWidth="1"/>
    <col min="3849" max="3849" width="10.77734375" style="138" customWidth="1"/>
    <col min="3850" max="3850" width="13.109375" style="138" customWidth="1"/>
    <col min="3851" max="3851" width="11.44140625" style="138" customWidth="1"/>
    <col min="3852" max="3853" width="12.33203125" style="138" customWidth="1"/>
    <col min="3854" max="3854" width="13.109375" style="138" customWidth="1"/>
    <col min="3855" max="3855" width="18.44140625" style="138" customWidth="1"/>
    <col min="3856" max="3856" width="7.33203125" style="138" customWidth="1"/>
    <col min="3857" max="4095" width="8.77734375" style="138"/>
    <col min="4096" max="4096" width="5.33203125" style="138" customWidth="1"/>
    <col min="4097" max="4097" width="5.44140625" style="138" customWidth="1"/>
    <col min="4098" max="4098" width="40.77734375" style="138" customWidth="1"/>
    <col min="4099" max="4099" width="9.77734375" style="138" customWidth="1"/>
    <col min="4100" max="4100" width="13" style="138" customWidth="1"/>
    <col min="4101" max="4101" width="13.109375" style="138" customWidth="1"/>
    <col min="4102" max="4102" width="12.33203125" style="138" customWidth="1"/>
    <col min="4103" max="4103" width="11.33203125" style="138" customWidth="1"/>
    <col min="4104" max="4104" width="11.77734375" style="138" customWidth="1"/>
    <col min="4105" max="4105" width="10.77734375" style="138" customWidth="1"/>
    <col min="4106" max="4106" width="13.109375" style="138" customWidth="1"/>
    <col min="4107" max="4107" width="11.44140625" style="138" customWidth="1"/>
    <col min="4108" max="4109" width="12.33203125" style="138" customWidth="1"/>
    <col min="4110" max="4110" width="13.109375" style="138" customWidth="1"/>
    <col min="4111" max="4111" width="18.44140625" style="138" customWidth="1"/>
    <col min="4112" max="4112" width="7.33203125" style="138" customWidth="1"/>
    <col min="4113" max="4351" width="8.77734375" style="138"/>
    <col min="4352" max="4352" width="5.33203125" style="138" customWidth="1"/>
    <col min="4353" max="4353" width="5.44140625" style="138" customWidth="1"/>
    <col min="4354" max="4354" width="40.77734375" style="138" customWidth="1"/>
    <col min="4355" max="4355" width="9.77734375" style="138" customWidth="1"/>
    <col min="4356" max="4356" width="13" style="138" customWidth="1"/>
    <col min="4357" max="4357" width="13.109375" style="138" customWidth="1"/>
    <col min="4358" max="4358" width="12.33203125" style="138" customWidth="1"/>
    <col min="4359" max="4359" width="11.33203125" style="138" customWidth="1"/>
    <col min="4360" max="4360" width="11.77734375" style="138" customWidth="1"/>
    <col min="4361" max="4361" width="10.77734375" style="138" customWidth="1"/>
    <col min="4362" max="4362" width="13.109375" style="138" customWidth="1"/>
    <col min="4363" max="4363" width="11.44140625" style="138" customWidth="1"/>
    <col min="4364" max="4365" width="12.33203125" style="138" customWidth="1"/>
    <col min="4366" max="4366" width="13.109375" style="138" customWidth="1"/>
    <col min="4367" max="4367" width="18.44140625" style="138" customWidth="1"/>
    <col min="4368" max="4368" width="7.33203125" style="138" customWidth="1"/>
    <col min="4369" max="4607" width="8.77734375" style="138"/>
    <col min="4608" max="4608" width="5.33203125" style="138" customWidth="1"/>
    <col min="4609" max="4609" width="5.44140625" style="138" customWidth="1"/>
    <col min="4610" max="4610" width="40.77734375" style="138" customWidth="1"/>
    <col min="4611" max="4611" width="9.77734375" style="138" customWidth="1"/>
    <col min="4612" max="4612" width="13" style="138" customWidth="1"/>
    <col min="4613" max="4613" width="13.109375" style="138" customWidth="1"/>
    <col min="4614" max="4614" width="12.33203125" style="138" customWidth="1"/>
    <col min="4615" max="4615" width="11.33203125" style="138" customWidth="1"/>
    <col min="4616" max="4616" width="11.77734375" style="138" customWidth="1"/>
    <col min="4617" max="4617" width="10.77734375" style="138" customWidth="1"/>
    <col min="4618" max="4618" width="13.109375" style="138" customWidth="1"/>
    <col min="4619" max="4619" width="11.44140625" style="138" customWidth="1"/>
    <col min="4620" max="4621" width="12.33203125" style="138" customWidth="1"/>
    <col min="4622" max="4622" width="13.109375" style="138" customWidth="1"/>
    <col min="4623" max="4623" width="18.44140625" style="138" customWidth="1"/>
    <col min="4624" max="4624" width="7.33203125" style="138" customWidth="1"/>
    <col min="4625" max="4863" width="8.77734375" style="138"/>
    <col min="4864" max="4864" width="5.33203125" style="138" customWidth="1"/>
    <col min="4865" max="4865" width="5.44140625" style="138" customWidth="1"/>
    <col min="4866" max="4866" width="40.77734375" style="138" customWidth="1"/>
    <col min="4867" max="4867" width="9.77734375" style="138" customWidth="1"/>
    <col min="4868" max="4868" width="13" style="138" customWidth="1"/>
    <col min="4869" max="4869" width="13.109375" style="138" customWidth="1"/>
    <col min="4870" max="4870" width="12.33203125" style="138" customWidth="1"/>
    <col min="4871" max="4871" width="11.33203125" style="138" customWidth="1"/>
    <col min="4872" max="4872" width="11.77734375" style="138" customWidth="1"/>
    <col min="4873" max="4873" width="10.77734375" style="138" customWidth="1"/>
    <col min="4874" max="4874" width="13.109375" style="138" customWidth="1"/>
    <col min="4875" max="4875" width="11.44140625" style="138" customWidth="1"/>
    <col min="4876" max="4877" width="12.33203125" style="138" customWidth="1"/>
    <col min="4878" max="4878" width="13.109375" style="138" customWidth="1"/>
    <col min="4879" max="4879" width="18.44140625" style="138" customWidth="1"/>
    <col min="4880" max="4880" width="7.33203125" style="138" customWidth="1"/>
    <col min="4881" max="5119" width="8.77734375" style="138"/>
    <col min="5120" max="5120" width="5.33203125" style="138" customWidth="1"/>
    <col min="5121" max="5121" width="5.44140625" style="138" customWidth="1"/>
    <col min="5122" max="5122" width="40.77734375" style="138" customWidth="1"/>
    <col min="5123" max="5123" width="9.77734375" style="138" customWidth="1"/>
    <col min="5124" max="5124" width="13" style="138" customWidth="1"/>
    <col min="5125" max="5125" width="13.109375" style="138" customWidth="1"/>
    <col min="5126" max="5126" width="12.33203125" style="138" customWidth="1"/>
    <col min="5127" max="5127" width="11.33203125" style="138" customWidth="1"/>
    <col min="5128" max="5128" width="11.77734375" style="138" customWidth="1"/>
    <col min="5129" max="5129" width="10.77734375" style="138" customWidth="1"/>
    <col min="5130" max="5130" width="13.109375" style="138" customWidth="1"/>
    <col min="5131" max="5131" width="11.44140625" style="138" customWidth="1"/>
    <col min="5132" max="5133" width="12.33203125" style="138" customWidth="1"/>
    <col min="5134" max="5134" width="13.109375" style="138" customWidth="1"/>
    <col min="5135" max="5135" width="18.44140625" style="138" customWidth="1"/>
    <col min="5136" max="5136" width="7.33203125" style="138" customWidth="1"/>
    <col min="5137" max="5375" width="8.77734375" style="138"/>
    <col min="5376" max="5376" width="5.33203125" style="138" customWidth="1"/>
    <col min="5377" max="5377" width="5.44140625" style="138" customWidth="1"/>
    <col min="5378" max="5378" width="40.77734375" style="138" customWidth="1"/>
    <col min="5379" max="5379" width="9.77734375" style="138" customWidth="1"/>
    <col min="5380" max="5380" width="13" style="138" customWidth="1"/>
    <col min="5381" max="5381" width="13.109375" style="138" customWidth="1"/>
    <col min="5382" max="5382" width="12.33203125" style="138" customWidth="1"/>
    <col min="5383" max="5383" width="11.33203125" style="138" customWidth="1"/>
    <col min="5384" max="5384" width="11.77734375" style="138" customWidth="1"/>
    <col min="5385" max="5385" width="10.77734375" style="138" customWidth="1"/>
    <col min="5386" max="5386" width="13.109375" style="138" customWidth="1"/>
    <col min="5387" max="5387" width="11.44140625" style="138" customWidth="1"/>
    <col min="5388" max="5389" width="12.33203125" style="138" customWidth="1"/>
    <col min="5390" max="5390" width="13.109375" style="138" customWidth="1"/>
    <col min="5391" max="5391" width="18.44140625" style="138" customWidth="1"/>
    <col min="5392" max="5392" width="7.33203125" style="138" customWidth="1"/>
    <col min="5393" max="5631" width="8.77734375" style="138"/>
    <col min="5632" max="5632" width="5.33203125" style="138" customWidth="1"/>
    <col min="5633" max="5633" width="5.44140625" style="138" customWidth="1"/>
    <col min="5634" max="5634" width="40.77734375" style="138" customWidth="1"/>
    <col min="5635" max="5635" width="9.77734375" style="138" customWidth="1"/>
    <col min="5636" max="5636" width="13" style="138" customWidth="1"/>
    <col min="5637" max="5637" width="13.109375" style="138" customWidth="1"/>
    <col min="5638" max="5638" width="12.33203125" style="138" customWidth="1"/>
    <col min="5639" max="5639" width="11.33203125" style="138" customWidth="1"/>
    <col min="5640" max="5640" width="11.77734375" style="138" customWidth="1"/>
    <col min="5641" max="5641" width="10.77734375" style="138" customWidth="1"/>
    <col min="5642" max="5642" width="13.109375" style="138" customWidth="1"/>
    <col min="5643" max="5643" width="11.44140625" style="138" customWidth="1"/>
    <col min="5644" max="5645" width="12.33203125" style="138" customWidth="1"/>
    <col min="5646" max="5646" width="13.109375" style="138" customWidth="1"/>
    <col min="5647" max="5647" width="18.44140625" style="138" customWidth="1"/>
    <col min="5648" max="5648" width="7.33203125" style="138" customWidth="1"/>
    <col min="5649" max="5887" width="8.77734375" style="138"/>
    <col min="5888" max="5888" width="5.33203125" style="138" customWidth="1"/>
    <col min="5889" max="5889" width="5.44140625" style="138" customWidth="1"/>
    <col min="5890" max="5890" width="40.77734375" style="138" customWidth="1"/>
    <col min="5891" max="5891" width="9.77734375" style="138" customWidth="1"/>
    <col min="5892" max="5892" width="13" style="138" customWidth="1"/>
    <col min="5893" max="5893" width="13.109375" style="138" customWidth="1"/>
    <col min="5894" max="5894" width="12.33203125" style="138" customWidth="1"/>
    <col min="5895" max="5895" width="11.33203125" style="138" customWidth="1"/>
    <col min="5896" max="5896" width="11.77734375" style="138" customWidth="1"/>
    <col min="5897" max="5897" width="10.77734375" style="138" customWidth="1"/>
    <col min="5898" max="5898" width="13.109375" style="138" customWidth="1"/>
    <col min="5899" max="5899" width="11.44140625" style="138" customWidth="1"/>
    <col min="5900" max="5901" width="12.33203125" style="138" customWidth="1"/>
    <col min="5902" max="5902" width="13.109375" style="138" customWidth="1"/>
    <col min="5903" max="5903" width="18.44140625" style="138" customWidth="1"/>
    <col min="5904" max="5904" width="7.33203125" style="138" customWidth="1"/>
    <col min="5905" max="6143" width="8.77734375" style="138"/>
    <col min="6144" max="6144" width="5.33203125" style="138" customWidth="1"/>
    <col min="6145" max="6145" width="5.44140625" style="138" customWidth="1"/>
    <col min="6146" max="6146" width="40.77734375" style="138" customWidth="1"/>
    <col min="6147" max="6147" width="9.77734375" style="138" customWidth="1"/>
    <col min="6148" max="6148" width="13" style="138" customWidth="1"/>
    <col min="6149" max="6149" width="13.109375" style="138" customWidth="1"/>
    <col min="6150" max="6150" width="12.33203125" style="138" customWidth="1"/>
    <col min="6151" max="6151" width="11.33203125" style="138" customWidth="1"/>
    <col min="6152" max="6152" width="11.77734375" style="138" customWidth="1"/>
    <col min="6153" max="6153" width="10.77734375" style="138" customWidth="1"/>
    <col min="6154" max="6154" width="13.109375" style="138" customWidth="1"/>
    <col min="6155" max="6155" width="11.44140625" style="138" customWidth="1"/>
    <col min="6156" max="6157" width="12.33203125" style="138" customWidth="1"/>
    <col min="6158" max="6158" width="13.109375" style="138" customWidth="1"/>
    <col min="6159" max="6159" width="18.44140625" style="138" customWidth="1"/>
    <col min="6160" max="6160" width="7.33203125" style="138" customWidth="1"/>
    <col min="6161" max="6399" width="8.77734375" style="138"/>
    <col min="6400" max="6400" width="5.33203125" style="138" customWidth="1"/>
    <col min="6401" max="6401" width="5.44140625" style="138" customWidth="1"/>
    <col min="6402" max="6402" width="40.77734375" style="138" customWidth="1"/>
    <col min="6403" max="6403" width="9.77734375" style="138" customWidth="1"/>
    <col min="6404" max="6404" width="13" style="138" customWidth="1"/>
    <col min="6405" max="6405" width="13.109375" style="138" customWidth="1"/>
    <col min="6406" max="6406" width="12.33203125" style="138" customWidth="1"/>
    <col min="6407" max="6407" width="11.33203125" style="138" customWidth="1"/>
    <col min="6408" max="6408" width="11.77734375" style="138" customWidth="1"/>
    <col min="6409" max="6409" width="10.77734375" style="138" customWidth="1"/>
    <col min="6410" max="6410" width="13.109375" style="138" customWidth="1"/>
    <col min="6411" max="6411" width="11.44140625" style="138" customWidth="1"/>
    <col min="6412" max="6413" width="12.33203125" style="138" customWidth="1"/>
    <col min="6414" max="6414" width="13.109375" style="138" customWidth="1"/>
    <col min="6415" max="6415" width="18.44140625" style="138" customWidth="1"/>
    <col min="6416" max="6416" width="7.33203125" style="138" customWidth="1"/>
    <col min="6417" max="6655" width="8.77734375" style="138"/>
    <col min="6656" max="6656" width="5.33203125" style="138" customWidth="1"/>
    <col min="6657" max="6657" width="5.44140625" style="138" customWidth="1"/>
    <col min="6658" max="6658" width="40.77734375" style="138" customWidth="1"/>
    <col min="6659" max="6659" width="9.77734375" style="138" customWidth="1"/>
    <col min="6660" max="6660" width="13" style="138" customWidth="1"/>
    <col min="6661" max="6661" width="13.109375" style="138" customWidth="1"/>
    <col min="6662" max="6662" width="12.33203125" style="138" customWidth="1"/>
    <col min="6663" max="6663" width="11.33203125" style="138" customWidth="1"/>
    <col min="6664" max="6664" width="11.77734375" style="138" customWidth="1"/>
    <col min="6665" max="6665" width="10.77734375" style="138" customWidth="1"/>
    <col min="6666" max="6666" width="13.109375" style="138" customWidth="1"/>
    <col min="6667" max="6667" width="11.44140625" style="138" customWidth="1"/>
    <col min="6668" max="6669" width="12.33203125" style="138" customWidth="1"/>
    <col min="6670" max="6670" width="13.109375" style="138" customWidth="1"/>
    <col min="6671" max="6671" width="18.44140625" style="138" customWidth="1"/>
    <col min="6672" max="6672" width="7.33203125" style="138" customWidth="1"/>
    <col min="6673" max="6911" width="8.77734375" style="138"/>
    <col min="6912" max="6912" width="5.33203125" style="138" customWidth="1"/>
    <col min="6913" max="6913" width="5.44140625" style="138" customWidth="1"/>
    <col min="6914" max="6914" width="40.77734375" style="138" customWidth="1"/>
    <col min="6915" max="6915" width="9.77734375" style="138" customWidth="1"/>
    <col min="6916" max="6916" width="13" style="138" customWidth="1"/>
    <col min="6917" max="6917" width="13.109375" style="138" customWidth="1"/>
    <col min="6918" max="6918" width="12.33203125" style="138" customWidth="1"/>
    <col min="6919" max="6919" width="11.33203125" style="138" customWidth="1"/>
    <col min="6920" max="6920" width="11.77734375" style="138" customWidth="1"/>
    <col min="6921" max="6921" width="10.77734375" style="138" customWidth="1"/>
    <col min="6922" max="6922" width="13.109375" style="138" customWidth="1"/>
    <col min="6923" max="6923" width="11.44140625" style="138" customWidth="1"/>
    <col min="6924" max="6925" width="12.33203125" style="138" customWidth="1"/>
    <col min="6926" max="6926" width="13.109375" style="138" customWidth="1"/>
    <col min="6927" max="6927" width="18.44140625" style="138" customWidth="1"/>
    <col min="6928" max="6928" width="7.33203125" style="138" customWidth="1"/>
    <col min="6929" max="7167" width="8.77734375" style="138"/>
    <col min="7168" max="7168" width="5.33203125" style="138" customWidth="1"/>
    <col min="7169" max="7169" width="5.44140625" style="138" customWidth="1"/>
    <col min="7170" max="7170" width="40.77734375" style="138" customWidth="1"/>
    <col min="7171" max="7171" width="9.77734375" style="138" customWidth="1"/>
    <col min="7172" max="7172" width="13" style="138" customWidth="1"/>
    <col min="7173" max="7173" width="13.109375" style="138" customWidth="1"/>
    <col min="7174" max="7174" width="12.33203125" style="138" customWidth="1"/>
    <col min="7175" max="7175" width="11.33203125" style="138" customWidth="1"/>
    <col min="7176" max="7176" width="11.77734375" style="138" customWidth="1"/>
    <col min="7177" max="7177" width="10.77734375" style="138" customWidth="1"/>
    <col min="7178" max="7178" width="13.109375" style="138" customWidth="1"/>
    <col min="7179" max="7179" width="11.44140625" style="138" customWidth="1"/>
    <col min="7180" max="7181" width="12.33203125" style="138" customWidth="1"/>
    <col min="7182" max="7182" width="13.109375" style="138" customWidth="1"/>
    <col min="7183" max="7183" width="18.44140625" style="138" customWidth="1"/>
    <col min="7184" max="7184" width="7.33203125" style="138" customWidth="1"/>
    <col min="7185" max="7423" width="8.77734375" style="138"/>
    <col min="7424" max="7424" width="5.33203125" style="138" customWidth="1"/>
    <col min="7425" max="7425" width="5.44140625" style="138" customWidth="1"/>
    <col min="7426" max="7426" width="40.77734375" style="138" customWidth="1"/>
    <col min="7427" max="7427" width="9.77734375" style="138" customWidth="1"/>
    <col min="7428" max="7428" width="13" style="138" customWidth="1"/>
    <col min="7429" max="7429" width="13.109375" style="138" customWidth="1"/>
    <col min="7430" max="7430" width="12.33203125" style="138" customWidth="1"/>
    <col min="7431" max="7431" width="11.33203125" style="138" customWidth="1"/>
    <col min="7432" max="7432" width="11.77734375" style="138" customWidth="1"/>
    <col min="7433" max="7433" width="10.77734375" style="138" customWidth="1"/>
    <col min="7434" max="7434" width="13.109375" style="138" customWidth="1"/>
    <col min="7435" max="7435" width="11.44140625" style="138" customWidth="1"/>
    <col min="7436" max="7437" width="12.33203125" style="138" customWidth="1"/>
    <col min="7438" max="7438" width="13.109375" style="138" customWidth="1"/>
    <col min="7439" max="7439" width="18.44140625" style="138" customWidth="1"/>
    <col min="7440" max="7440" width="7.33203125" style="138" customWidth="1"/>
    <col min="7441" max="7679" width="8.77734375" style="138"/>
    <col min="7680" max="7680" width="5.33203125" style="138" customWidth="1"/>
    <col min="7681" max="7681" width="5.44140625" style="138" customWidth="1"/>
    <col min="7682" max="7682" width="40.77734375" style="138" customWidth="1"/>
    <col min="7683" max="7683" width="9.77734375" style="138" customWidth="1"/>
    <col min="7684" max="7684" width="13" style="138" customWidth="1"/>
    <col min="7685" max="7685" width="13.109375" style="138" customWidth="1"/>
    <col min="7686" max="7686" width="12.33203125" style="138" customWidth="1"/>
    <col min="7687" max="7687" width="11.33203125" style="138" customWidth="1"/>
    <col min="7688" max="7688" width="11.77734375" style="138" customWidth="1"/>
    <col min="7689" max="7689" width="10.77734375" style="138" customWidth="1"/>
    <col min="7690" max="7690" width="13.109375" style="138" customWidth="1"/>
    <col min="7691" max="7691" width="11.44140625" style="138" customWidth="1"/>
    <col min="7692" max="7693" width="12.33203125" style="138" customWidth="1"/>
    <col min="7694" max="7694" width="13.109375" style="138" customWidth="1"/>
    <col min="7695" max="7695" width="18.44140625" style="138" customWidth="1"/>
    <col min="7696" max="7696" width="7.33203125" style="138" customWidth="1"/>
    <col min="7697" max="7935" width="8.77734375" style="138"/>
    <col min="7936" max="7936" width="5.33203125" style="138" customWidth="1"/>
    <col min="7937" max="7937" width="5.44140625" style="138" customWidth="1"/>
    <col min="7938" max="7938" width="40.77734375" style="138" customWidth="1"/>
    <col min="7939" max="7939" width="9.77734375" style="138" customWidth="1"/>
    <col min="7940" max="7940" width="13" style="138" customWidth="1"/>
    <col min="7941" max="7941" width="13.109375" style="138" customWidth="1"/>
    <col min="7942" max="7942" width="12.33203125" style="138" customWidth="1"/>
    <col min="7943" max="7943" width="11.33203125" style="138" customWidth="1"/>
    <col min="7944" max="7944" width="11.77734375" style="138" customWidth="1"/>
    <col min="7945" max="7945" width="10.77734375" style="138" customWidth="1"/>
    <col min="7946" max="7946" width="13.109375" style="138" customWidth="1"/>
    <col min="7947" max="7947" width="11.44140625" style="138" customWidth="1"/>
    <col min="7948" max="7949" width="12.33203125" style="138" customWidth="1"/>
    <col min="7950" max="7950" width="13.109375" style="138" customWidth="1"/>
    <col min="7951" max="7951" width="18.44140625" style="138" customWidth="1"/>
    <col min="7952" max="7952" width="7.33203125" style="138" customWidth="1"/>
    <col min="7953" max="8191" width="8.77734375" style="138"/>
    <col min="8192" max="8192" width="5.33203125" style="138" customWidth="1"/>
    <col min="8193" max="8193" width="5.44140625" style="138" customWidth="1"/>
    <col min="8194" max="8194" width="40.77734375" style="138" customWidth="1"/>
    <col min="8195" max="8195" width="9.77734375" style="138" customWidth="1"/>
    <col min="8196" max="8196" width="13" style="138" customWidth="1"/>
    <col min="8197" max="8197" width="13.109375" style="138" customWidth="1"/>
    <col min="8198" max="8198" width="12.33203125" style="138" customWidth="1"/>
    <col min="8199" max="8199" width="11.33203125" style="138" customWidth="1"/>
    <col min="8200" max="8200" width="11.77734375" style="138" customWidth="1"/>
    <col min="8201" max="8201" width="10.77734375" style="138" customWidth="1"/>
    <col min="8202" max="8202" width="13.109375" style="138" customWidth="1"/>
    <col min="8203" max="8203" width="11.44140625" style="138" customWidth="1"/>
    <col min="8204" max="8205" width="12.33203125" style="138" customWidth="1"/>
    <col min="8206" max="8206" width="13.109375" style="138" customWidth="1"/>
    <col min="8207" max="8207" width="18.44140625" style="138" customWidth="1"/>
    <col min="8208" max="8208" width="7.33203125" style="138" customWidth="1"/>
    <col min="8209" max="8447" width="8.77734375" style="138"/>
    <col min="8448" max="8448" width="5.33203125" style="138" customWidth="1"/>
    <col min="8449" max="8449" width="5.44140625" style="138" customWidth="1"/>
    <col min="8450" max="8450" width="40.77734375" style="138" customWidth="1"/>
    <col min="8451" max="8451" width="9.77734375" style="138" customWidth="1"/>
    <col min="8452" max="8452" width="13" style="138" customWidth="1"/>
    <col min="8453" max="8453" width="13.109375" style="138" customWidth="1"/>
    <col min="8454" max="8454" width="12.33203125" style="138" customWidth="1"/>
    <col min="8455" max="8455" width="11.33203125" style="138" customWidth="1"/>
    <col min="8456" max="8456" width="11.77734375" style="138" customWidth="1"/>
    <col min="8457" max="8457" width="10.77734375" style="138" customWidth="1"/>
    <col min="8458" max="8458" width="13.109375" style="138" customWidth="1"/>
    <col min="8459" max="8459" width="11.44140625" style="138" customWidth="1"/>
    <col min="8460" max="8461" width="12.33203125" style="138" customWidth="1"/>
    <col min="8462" max="8462" width="13.109375" style="138" customWidth="1"/>
    <col min="8463" max="8463" width="18.44140625" style="138" customWidth="1"/>
    <col min="8464" max="8464" width="7.33203125" style="138" customWidth="1"/>
    <col min="8465" max="8703" width="8.77734375" style="138"/>
    <col min="8704" max="8704" width="5.33203125" style="138" customWidth="1"/>
    <col min="8705" max="8705" width="5.44140625" style="138" customWidth="1"/>
    <col min="8706" max="8706" width="40.77734375" style="138" customWidth="1"/>
    <col min="8707" max="8707" width="9.77734375" style="138" customWidth="1"/>
    <col min="8708" max="8708" width="13" style="138" customWidth="1"/>
    <col min="8709" max="8709" width="13.109375" style="138" customWidth="1"/>
    <col min="8710" max="8710" width="12.33203125" style="138" customWidth="1"/>
    <col min="8711" max="8711" width="11.33203125" style="138" customWidth="1"/>
    <col min="8712" max="8712" width="11.77734375" style="138" customWidth="1"/>
    <col min="8713" max="8713" width="10.77734375" style="138" customWidth="1"/>
    <col min="8714" max="8714" width="13.109375" style="138" customWidth="1"/>
    <col min="8715" max="8715" width="11.44140625" style="138" customWidth="1"/>
    <col min="8716" max="8717" width="12.33203125" style="138" customWidth="1"/>
    <col min="8718" max="8718" width="13.109375" style="138" customWidth="1"/>
    <col min="8719" max="8719" width="18.44140625" style="138" customWidth="1"/>
    <col min="8720" max="8720" width="7.33203125" style="138" customWidth="1"/>
    <col min="8721" max="8959" width="8.77734375" style="138"/>
    <col min="8960" max="8960" width="5.33203125" style="138" customWidth="1"/>
    <col min="8961" max="8961" width="5.44140625" style="138" customWidth="1"/>
    <col min="8962" max="8962" width="40.77734375" style="138" customWidth="1"/>
    <col min="8963" max="8963" width="9.77734375" style="138" customWidth="1"/>
    <col min="8964" max="8964" width="13" style="138" customWidth="1"/>
    <col min="8965" max="8965" width="13.109375" style="138" customWidth="1"/>
    <col min="8966" max="8966" width="12.33203125" style="138" customWidth="1"/>
    <col min="8967" max="8967" width="11.33203125" style="138" customWidth="1"/>
    <col min="8968" max="8968" width="11.77734375" style="138" customWidth="1"/>
    <col min="8969" max="8969" width="10.77734375" style="138" customWidth="1"/>
    <col min="8970" max="8970" width="13.109375" style="138" customWidth="1"/>
    <col min="8971" max="8971" width="11.44140625" style="138" customWidth="1"/>
    <col min="8972" max="8973" width="12.33203125" style="138" customWidth="1"/>
    <col min="8974" max="8974" width="13.109375" style="138" customWidth="1"/>
    <col min="8975" max="8975" width="18.44140625" style="138" customWidth="1"/>
    <col min="8976" max="8976" width="7.33203125" style="138" customWidth="1"/>
    <col min="8977" max="9215" width="8.77734375" style="138"/>
    <col min="9216" max="9216" width="5.33203125" style="138" customWidth="1"/>
    <col min="9217" max="9217" width="5.44140625" style="138" customWidth="1"/>
    <col min="9218" max="9218" width="40.77734375" style="138" customWidth="1"/>
    <col min="9219" max="9219" width="9.77734375" style="138" customWidth="1"/>
    <col min="9220" max="9220" width="13" style="138" customWidth="1"/>
    <col min="9221" max="9221" width="13.109375" style="138" customWidth="1"/>
    <col min="9222" max="9222" width="12.33203125" style="138" customWidth="1"/>
    <col min="9223" max="9223" width="11.33203125" style="138" customWidth="1"/>
    <col min="9224" max="9224" width="11.77734375" style="138" customWidth="1"/>
    <col min="9225" max="9225" width="10.77734375" style="138" customWidth="1"/>
    <col min="9226" max="9226" width="13.109375" style="138" customWidth="1"/>
    <col min="9227" max="9227" width="11.44140625" style="138" customWidth="1"/>
    <col min="9228" max="9229" width="12.33203125" style="138" customWidth="1"/>
    <col min="9230" max="9230" width="13.109375" style="138" customWidth="1"/>
    <col min="9231" max="9231" width="18.44140625" style="138" customWidth="1"/>
    <col min="9232" max="9232" width="7.33203125" style="138" customWidth="1"/>
    <col min="9233" max="9471" width="8.77734375" style="138"/>
    <col min="9472" max="9472" width="5.33203125" style="138" customWidth="1"/>
    <col min="9473" max="9473" width="5.44140625" style="138" customWidth="1"/>
    <col min="9474" max="9474" width="40.77734375" style="138" customWidth="1"/>
    <col min="9475" max="9475" width="9.77734375" style="138" customWidth="1"/>
    <col min="9476" max="9476" width="13" style="138" customWidth="1"/>
    <col min="9477" max="9477" width="13.109375" style="138" customWidth="1"/>
    <col min="9478" max="9478" width="12.33203125" style="138" customWidth="1"/>
    <col min="9479" max="9479" width="11.33203125" style="138" customWidth="1"/>
    <col min="9480" max="9480" width="11.77734375" style="138" customWidth="1"/>
    <col min="9481" max="9481" width="10.77734375" style="138" customWidth="1"/>
    <col min="9482" max="9482" width="13.109375" style="138" customWidth="1"/>
    <col min="9483" max="9483" width="11.44140625" style="138" customWidth="1"/>
    <col min="9484" max="9485" width="12.33203125" style="138" customWidth="1"/>
    <col min="9486" max="9486" width="13.109375" style="138" customWidth="1"/>
    <col min="9487" max="9487" width="18.44140625" style="138" customWidth="1"/>
    <col min="9488" max="9488" width="7.33203125" style="138" customWidth="1"/>
    <col min="9489" max="9727" width="8.77734375" style="138"/>
    <col min="9728" max="9728" width="5.33203125" style="138" customWidth="1"/>
    <col min="9729" max="9729" width="5.44140625" style="138" customWidth="1"/>
    <col min="9730" max="9730" width="40.77734375" style="138" customWidth="1"/>
    <col min="9731" max="9731" width="9.77734375" style="138" customWidth="1"/>
    <col min="9732" max="9732" width="13" style="138" customWidth="1"/>
    <col min="9733" max="9733" width="13.109375" style="138" customWidth="1"/>
    <col min="9734" max="9734" width="12.33203125" style="138" customWidth="1"/>
    <col min="9735" max="9735" width="11.33203125" style="138" customWidth="1"/>
    <col min="9736" max="9736" width="11.77734375" style="138" customWidth="1"/>
    <col min="9737" max="9737" width="10.77734375" style="138" customWidth="1"/>
    <col min="9738" max="9738" width="13.109375" style="138" customWidth="1"/>
    <col min="9739" max="9739" width="11.44140625" style="138" customWidth="1"/>
    <col min="9740" max="9741" width="12.33203125" style="138" customWidth="1"/>
    <col min="9742" max="9742" width="13.109375" style="138" customWidth="1"/>
    <col min="9743" max="9743" width="18.44140625" style="138" customWidth="1"/>
    <col min="9744" max="9744" width="7.33203125" style="138" customWidth="1"/>
    <col min="9745" max="9983" width="8.77734375" style="138"/>
    <col min="9984" max="9984" width="5.33203125" style="138" customWidth="1"/>
    <col min="9985" max="9985" width="5.44140625" style="138" customWidth="1"/>
    <col min="9986" max="9986" width="40.77734375" style="138" customWidth="1"/>
    <col min="9987" max="9987" width="9.77734375" style="138" customWidth="1"/>
    <col min="9988" max="9988" width="13" style="138" customWidth="1"/>
    <col min="9989" max="9989" width="13.109375" style="138" customWidth="1"/>
    <col min="9990" max="9990" width="12.33203125" style="138" customWidth="1"/>
    <col min="9991" max="9991" width="11.33203125" style="138" customWidth="1"/>
    <col min="9992" max="9992" width="11.77734375" style="138" customWidth="1"/>
    <col min="9993" max="9993" width="10.77734375" style="138" customWidth="1"/>
    <col min="9994" max="9994" width="13.109375" style="138" customWidth="1"/>
    <col min="9995" max="9995" width="11.44140625" style="138" customWidth="1"/>
    <col min="9996" max="9997" width="12.33203125" style="138" customWidth="1"/>
    <col min="9998" max="9998" width="13.109375" style="138" customWidth="1"/>
    <col min="9999" max="9999" width="18.44140625" style="138" customWidth="1"/>
    <col min="10000" max="10000" width="7.33203125" style="138" customWidth="1"/>
    <col min="10001" max="10239" width="8.77734375" style="138"/>
    <col min="10240" max="10240" width="5.33203125" style="138" customWidth="1"/>
    <col min="10241" max="10241" width="5.44140625" style="138" customWidth="1"/>
    <col min="10242" max="10242" width="40.77734375" style="138" customWidth="1"/>
    <col min="10243" max="10243" width="9.77734375" style="138" customWidth="1"/>
    <col min="10244" max="10244" width="13" style="138" customWidth="1"/>
    <col min="10245" max="10245" width="13.109375" style="138" customWidth="1"/>
    <col min="10246" max="10246" width="12.33203125" style="138" customWidth="1"/>
    <col min="10247" max="10247" width="11.33203125" style="138" customWidth="1"/>
    <col min="10248" max="10248" width="11.77734375" style="138" customWidth="1"/>
    <col min="10249" max="10249" width="10.77734375" style="138" customWidth="1"/>
    <col min="10250" max="10250" width="13.109375" style="138" customWidth="1"/>
    <col min="10251" max="10251" width="11.44140625" style="138" customWidth="1"/>
    <col min="10252" max="10253" width="12.33203125" style="138" customWidth="1"/>
    <col min="10254" max="10254" width="13.109375" style="138" customWidth="1"/>
    <col min="10255" max="10255" width="18.44140625" style="138" customWidth="1"/>
    <col min="10256" max="10256" width="7.33203125" style="138" customWidth="1"/>
    <col min="10257" max="10495" width="8.77734375" style="138"/>
    <col min="10496" max="10496" width="5.33203125" style="138" customWidth="1"/>
    <col min="10497" max="10497" width="5.44140625" style="138" customWidth="1"/>
    <col min="10498" max="10498" width="40.77734375" style="138" customWidth="1"/>
    <col min="10499" max="10499" width="9.77734375" style="138" customWidth="1"/>
    <col min="10500" max="10500" width="13" style="138" customWidth="1"/>
    <col min="10501" max="10501" width="13.109375" style="138" customWidth="1"/>
    <col min="10502" max="10502" width="12.33203125" style="138" customWidth="1"/>
    <col min="10503" max="10503" width="11.33203125" style="138" customWidth="1"/>
    <col min="10504" max="10504" width="11.77734375" style="138" customWidth="1"/>
    <col min="10505" max="10505" width="10.77734375" style="138" customWidth="1"/>
    <col min="10506" max="10506" width="13.109375" style="138" customWidth="1"/>
    <col min="10507" max="10507" width="11.44140625" style="138" customWidth="1"/>
    <col min="10508" max="10509" width="12.33203125" style="138" customWidth="1"/>
    <col min="10510" max="10510" width="13.109375" style="138" customWidth="1"/>
    <col min="10511" max="10511" width="18.44140625" style="138" customWidth="1"/>
    <col min="10512" max="10512" width="7.33203125" style="138" customWidth="1"/>
    <col min="10513" max="10751" width="8.77734375" style="138"/>
    <col min="10752" max="10752" width="5.33203125" style="138" customWidth="1"/>
    <col min="10753" max="10753" width="5.44140625" style="138" customWidth="1"/>
    <col min="10754" max="10754" width="40.77734375" style="138" customWidth="1"/>
    <col min="10755" max="10755" width="9.77734375" style="138" customWidth="1"/>
    <col min="10756" max="10756" width="13" style="138" customWidth="1"/>
    <col min="10757" max="10757" width="13.109375" style="138" customWidth="1"/>
    <col min="10758" max="10758" width="12.33203125" style="138" customWidth="1"/>
    <col min="10759" max="10759" width="11.33203125" style="138" customWidth="1"/>
    <col min="10760" max="10760" width="11.77734375" style="138" customWidth="1"/>
    <col min="10761" max="10761" width="10.77734375" style="138" customWidth="1"/>
    <col min="10762" max="10762" width="13.109375" style="138" customWidth="1"/>
    <col min="10763" max="10763" width="11.44140625" style="138" customWidth="1"/>
    <col min="10764" max="10765" width="12.33203125" style="138" customWidth="1"/>
    <col min="10766" max="10766" width="13.109375" style="138" customWidth="1"/>
    <col min="10767" max="10767" width="18.44140625" style="138" customWidth="1"/>
    <col min="10768" max="10768" width="7.33203125" style="138" customWidth="1"/>
    <col min="10769" max="11007" width="8.77734375" style="138"/>
    <col min="11008" max="11008" width="5.33203125" style="138" customWidth="1"/>
    <col min="11009" max="11009" width="5.44140625" style="138" customWidth="1"/>
    <col min="11010" max="11010" width="40.77734375" style="138" customWidth="1"/>
    <col min="11011" max="11011" width="9.77734375" style="138" customWidth="1"/>
    <col min="11012" max="11012" width="13" style="138" customWidth="1"/>
    <col min="11013" max="11013" width="13.109375" style="138" customWidth="1"/>
    <col min="11014" max="11014" width="12.33203125" style="138" customWidth="1"/>
    <col min="11015" max="11015" width="11.33203125" style="138" customWidth="1"/>
    <col min="11016" max="11016" width="11.77734375" style="138" customWidth="1"/>
    <col min="11017" max="11017" width="10.77734375" style="138" customWidth="1"/>
    <col min="11018" max="11018" width="13.109375" style="138" customWidth="1"/>
    <col min="11019" max="11019" width="11.44140625" style="138" customWidth="1"/>
    <col min="11020" max="11021" width="12.33203125" style="138" customWidth="1"/>
    <col min="11022" max="11022" width="13.109375" style="138" customWidth="1"/>
    <col min="11023" max="11023" width="18.44140625" style="138" customWidth="1"/>
    <col min="11024" max="11024" width="7.33203125" style="138" customWidth="1"/>
    <col min="11025" max="11263" width="8.77734375" style="138"/>
    <col min="11264" max="11264" width="5.33203125" style="138" customWidth="1"/>
    <col min="11265" max="11265" width="5.44140625" style="138" customWidth="1"/>
    <col min="11266" max="11266" width="40.77734375" style="138" customWidth="1"/>
    <col min="11267" max="11267" width="9.77734375" style="138" customWidth="1"/>
    <col min="11268" max="11268" width="13" style="138" customWidth="1"/>
    <col min="11269" max="11269" width="13.109375" style="138" customWidth="1"/>
    <col min="11270" max="11270" width="12.33203125" style="138" customWidth="1"/>
    <col min="11271" max="11271" width="11.33203125" style="138" customWidth="1"/>
    <col min="11272" max="11272" width="11.77734375" style="138" customWidth="1"/>
    <col min="11273" max="11273" width="10.77734375" style="138" customWidth="1"/>
    <col min="11274" max="11274" width="13.109375" style="138" customWidth="1"/>
    <col min="11275" max="11275" width="11.44140625" style="138" customWidth="1"/>
    <col min="11276" max="11277" width="12.33203125" style="138" customWidth="1"/>
    <col min="11278" max="11278" width="13.109375" style="138" customWidth="1"/>
    <col min="11279" max="11279" width="18.44140625" style="138" customWidth="1"/>
    <col min="11280" max="11280" width="7.33203125" style="138" customWidth="1"/>
    <col min="11281" max="11519" width="8.77734375" style="138"/>
    <col min="11520" max="11520" width="5.33203125" style="138" customWidth="1"/>
    <col min="11521" max="11521" width="5.44140625" style="138" customWidth="1"/>
    <col min="11522" max="11522" width="40.77734375" style="138" customWidth="1"/>
    <col min="11523" max="11523" width="9.77734375" style="138" customWidth="1"/>
    <col min="11524" max="11524" width="13" style="138" customWidth="1"/>
    <col min="11525" max="11525" width="13.109375" style="138" customWidth="1"/>
    <col min="11526" max="11526" width="12.33203125" style="138" customWidth="1"/>
    <col min="11527" max="11527" width="11.33203125" style="138" customWidth="1"/>
    <col min="11528" max="11528" width="11.77734375" style="138" customWidth="1"/>
    <col min="11529" max="11529" width="10.77734375" style="138" customWidth="1"/>
    <col min="11530" max="11530" width="13.109375" style="138" customWidth="1"/>
    <col min="11531" max="11531" width="11.44140625" style="138" customWidth="1"/>
    <col min="11532" max="11533" width="12.33203125" style="138" customWidth="1"/>
    <col min="11534" max="11534" width="13.109375" style="138" customWidth="1"/>
    <col min="11535" max="11535" width="18.44140625" style="138" customWidth="1"/>
    <col min="11536" max="11536" width="7.33203125" style="138" customWidth="1"/>
    <col min="11537" max="11775" width="8.77734375" style="138"/>
    <col min="11776" max="11776" width="5.33203125" style="138" customWidth="1"/>
    <col min="11777" max="11777" width="5.44140625" style="138" customWidth="1"/>
    <col min="11778" max="11778" width="40.77734375" style="138" customWidth="1"/>
    <col min="11779" max="11779" width="9.77734375" style="138" customWidth="1"/>
    <col min="11780" max="11780" width="13" style="138" customWidth="1"/>
    <col min="11781" max="11781" width="13.109375" style="138" customWidth="1"/>
    <col min="11782" max="11782" width="12.33203125" style="138" customWidth="1"/>
    <col min="11783" max="11783" width="11.33203125" style="138" customWidth="1"/>
    <col min="11784" max="11784" width="11.77734375" style="138" customWidth="1"/>
    <col min="11785" max="11785" width="10.77734375" style="138" customWidth="1"/>
    <col min="11786" max="11786" width="13.109375" style="138" customWidth="1"/>
    <col min="11787" max="11787" width="11.44140625" style="138" customWidth="1"/>
    <col min="11788" max="11789" width="12.33203125" style="138" customWidth="1"/>
    <col min="11790" max="11790" width="13.109375" style="138" customWidth="1"/>
    <col min="11791" max="11791" width="18.44140625" style="138" customWidth="1"/>
    <col min="11792" max="11792" width="7.33203125" style="138" customWidth="1"/>
    <col min="11793" max="12031" width="8.77734375" style="138"/>
    <col min="12032" max="12032" width="5.33203125" style="138" customWidth="1"/>
    <col min="12033" max="12033" width="5.44140625" style="138" customWidth="1"/>
    <col min="12034" max="12034" width="40.77734375" style="138" customWidth="1"/>
    <col min="12035" max="12035" width="9.77734375" style="138" customWidth="1"/>
    <col min="12036" max="12036" width="13" style="138" customWidth="1"/>
    <col min="12037" max="12037" width="13.109375" style="138" customWidth="1"/>
    <col min="12038" max="12038" width="12.33203125" style="138" customWidth="1"/>
    <col min="12039" max="12039" width="11.33203125" style="138" customWidth="1"/>
    <col min="12040" max="12040" width="11.77734375" style="138" customWidth="1"/>
    <col min="12041" max="12041" width="10.77734375" style="138" customWidth="1"/>
    <col min="12042" max="12042" width="13.109375" style="138" customWidth="1"/>
    <col min="12043" max="12043" width="11.44140625" style="138" customWidth="1"/>
    <col min="12044" max="12045" width="12.33203125" style="138" customWidth="1"/>
    <col min="12046" max="12046" width="13.109375" style="138" customWidth="1"/>
    <col min="12047" max="12047" width="18.44140625" style="138" customWidth="1"/>
    <col min="12048" max="12048" width="7.33203125" style="138" customWidth="1"/>
    <col min="12049" max="12287" width="8.77734375" style="138"/>
    <col min="12288" max="12288" width="5.33203125" style="138" customWidth="1"/>
    <col min="12289" max="12289" width="5.44140625" style="138" customWidth="1"/>
    <col min="12290" max="12290" width="40.77734375" style="138" customWidth="1"/>
    <col min="12291" max="12291" width="9.77734375" style="138" customWidth="1"/>
    <col min="12292" max="12292" width="13" style="138" customWidth="1"/>
    <col min="12293" max="12293" width="13.109375" style="138" customWidth="1"/>
    <col min="12294" max="12294" width="12.33203125" style="138" customWidth="1"/>
    <col min="12295" max="12295" width="11.33203125" style="138" customWidth="1"/>
    <col min="12296" max="12296" width="11.77734375" style="138" customWidth="1"/>
    <col min="12297" max="12297" width="10.77734375" style="138" customWidth="1"/>
    <col min="12298" max="12298" width="13.109375" style="138" customWidth="1"/>
    <col min="12299" max="12299" width="11.44140625" style="138" customWidth="1"/>
    <col min="12300" max="12301" width="12.33203125" style="138" customWidth="1"/>
    <col min="12302" max="12302" width="13.109375" style="138" customWidth="1"/>
    <col min="12303" max="12303" width="18.44140625" style="138" customWidth="1"/>
    <col min="12304" max="12304" width="7.33203125" style="138" customWidth="1"/>
    <col min="12305" max="12543" width="8.77734375" style="138"/>
    <col min="12544" max="12544" width="5.33203125" style="138" customWidth="1"/>
    <col min="12545" max="12545" width="5.44140625" style="138" customWidth="1"/>
    <col min="12546" max="12546" width="40.77734375" style="138" customWidth="1"/>
    <col min="12547" max="12547" width="9.77734375" style="138" customWidth="1"/>
    <col min="12548" max="12548" width="13" style="138" customWidth="1"/>
    <col min="12549" max="12549" width="13.109375" style="138" customWidth="1"/>
    <col min="12550" max="12550" width="12.33203125" style="138" customWidth="1"/>
    <col min="12551" max="12551" width="11.33203125" style="138" customWidth="1"/>
    <col min="12552" max="12552" width="11.77734375" style="138" customWidth="1"/>
    <col min="12553" max="12553" width="10.77734375" style="138" customWidth="1"/>
    <col min="12554" max="12554" width="13.109375" style="138" customWidth="1"/>
    <col min="12555" max="12555" width="11.44140625" style="138" customWidth="1"/>
    <col min="12556" max="12557" width="12.33203125" style="138" customWidth="1"/>
    <col min="12558" max="12558" width="13.109375" style="138" customWidth="1"/>
    <col min="12559" max="12559" width="18.44140625" style="138" customWidth="1"/>
    <col min="12560" max="12560" width="7.33203125" style="138" customWidth="1"/>
    <col min="12561" max="12799" width="8.77734375" style="138"/>
    <col min="12800" max="12800" width="5.33203125" style="138" customWidth="1"/>
    <col min="12801" max="12801" width="5.44140625" style="138" customWidth="1"/>
    <col min="12802" max="12802" width="40.77734375" style="138" customWidth="1"/>
    <col min="12803" max="12803" width="9.77734375" style="138" customWidth="1"/>
    <col min="12804" max="12804" width="13" style="138" customWidth="1"/>
    <col min="12805" max="12805" width="13.109375" style="138" customWidth="1"/>
    <col min="12806" max="12806" width="12.33203125" style="138" customWidth="1"/>
    <col min="12807" max="12807" width="11.33203125" style="138" customWidth="1"/>
    <col min="12808" max="12808" width="11.77734375" style="138" customWidth="1"/>
    <col min="12809" max="12809" width="10.77734375" style="138" customWidth="1"/>
    <col min="12810" max="12810" width="13.109375" style="138" customWidth="1"/>
    <col min="12811" max="12811" width="11.44140625" style="138" customWidth="1"/>
    <col min="12812" max="12813" width="12.33203125" style="138" customWidth="1"/>
    <col min="12814" max="12814" width="13.109375" style="138" customWidth="1"/>
    <col min="12815" max="12815" width="18.44140625" style="138" customWidth="1"/>
    <col min="12816" max="12816" width="7.33203125" style="138" customWidth="1"/>
    <col min="12817" max="13055" width="8.77734375" style="138"/>
    <col min="13056" max="13056" width="5.33203125" style="138" customWidth="1"/>
    <col min="13057" max="13057" width="5.44140625" style="138" customWidth="1"/>
    <col min="13058" max="13058" width="40.77734375" style="138" customWidth="1"/>
    <col min="13059" max="13059" width="9.77734375" style="138" customWidth="1"/>
    <col min="13060" max="13060" width="13" style="138" customWidth="1"/>
    <col min="13061" max="13061" width="13.109375" style="138" customWidth="1"/>
    <col min="13062" max="13062" width="12.33203125" style="138" customWidth="1"/>
    <col min="13063" max="13063" width="11.33203125" style="138" customWidth="1"/>
    <col min="13064" max="13064" width="11.77734375" style="138" customWidth="1"/>
    <col min="13065" max="13065" width="10.77734375" style="138" customWidth="1"/>
    <col min="13066" max="13066" width="13.109375" style="138" customWidth="1"/>
    <col min="13067" max="13067" width="11.44140625" style="138" customWidth="1"/>
    <col min="13068" max="13069" width="12.33203125" style="138" customWidth="1"/>
    <col min="13070" max="13070" width="13.109375" style="138" customWidth="1"/>
    <col min="13071" max="13071" width="18.44140625" style="138" customWidth="1"/>
    <col min="13072" max="13072" width="7.33203125" style="138" customWidth="1"/>
    <col min="13073" max="13311" width="8.77734375" style="138"/>
    <col min="13312" max="13312" width="5.33203125" style="138" customWidth="1"/>
    <col min="13313" max="13313" width="5.44140625" style="138" customWidth="1"/>
    <col min="13314" max="13314" width="40.77734375" style="138" customWidth="1"/>
    <col min="13315" max="13315" width="9.77734375" style="138" customWidth="1"/>
    <col min="13316" max="13316" width="13" style="138" customWidth="1"/>
    <col min="13317" max="13317" width="13.109375" style="138" customWidth="1"/>
    <col min="13318" max="13318" width="12.33203125" style="138" customWidth="1"/>
    <col min="13319" max="13319" width="11.33203125" style="138" customWidth="1"/>
    <col min="13320" max="13320" width="11.77734375" style="138" customWidth="1"/>
    <col min="13321" max="13321" width="10.77734375" style="138" customWidth="1"/>
    <col min="13322" max="13322" width="13.109375" style="138" customWidth="1"/>
    <col min="13323" max="13323" width="11.44140625" style="138" customWidth="1"/>
    <col min="13324" max="13325" width="12.33203125" style="138" customWidth="1"/>
    <col min="13326" max="13326" width="13.109375" style="138" customWidth="1"/>
    <col min="13327" max="13327" width="18.44140625" style="138" customWidth="1"/>
    <col min="13328" max="13328" width="7.33203125" style="138" customWidth="1"/>
    <col min="13329" max="13567" width="8.77734375" style="138"/>
    <col min="13568" max="13568" width="5.33203125" style="138" customWidth="1"/>
    <col min="13569" max="13569" width="5.44140625" style="138" customWidth="1"/>
    <col min="13570" max="13570" width="40.77734375" style="138" customWidth="1"/>
    <col min="13571" max="13571" width="9.77734375" style="138" customWidth="1"/>
    <col min="13572" max="13572" width="13" style="138" customWidth="1"/>
    <col min="13573" max="13573" width="13.109375" style="138" customWidth="1"/>
    <col min="13574" max="13574" width="12.33203125" style="138" customWidth="1"/>
    <col min="13575" max="13575" width="11.33203125" style="138" customWidth="1"/>
    <col min="13576" max="13576" width="11.77734375" style="138" customWidth="1"/>
    <col min="13577" max="13577" width="10.77734375" style="138" customWidth="1"/>
    <col min="13578" max="13578" width="13.109375" style="138" customWidth="1"/>
    <col min="13579" max="13579" width="11.44140625" style="138" customWidth="1"/>
    <col min="13580" max="13581" width="12.33203125" style="138" customWidth="1"/>
    <col min="13582" max="13582" width="13.109375" style="138" customWidth="1"/>
    <col min="13583" max="13583" width="18.44140625" style="138" customWidth="1"/>
    <col min="13584" max="13584" width="7.33203125" style="138" customWidth="1"/>
    <col min="13585" max="13823" width="8.77734375" style="138"/>
    <col min="13824" max="13824" width="5.33203125" style="138" customWidth="1"/>
    <col min="13825" max="13825" width="5.44140625" style="138" customWidth="1"/>
    <col min="13826" max="13826" width="40.77734375" style="138" customWidth="1"/>
    <col min="13827" max="13827" width="9.77734375" style="138" customWidth="1"/>
    <col min="13828" max="13828" width="13" style="138" customWidth="1"/>
    <col min="13829" max="13829" width="13.109375" style="138" customWidth="1"/>
    <col min="13830" max="13830" width="12.33203125" style="138" customWidth="1"/>
    <col min="13831" max="13831" width="11.33203125" style="138" customWidth="1"/>
    <col min="13832" max="13832" width="11.77734375" style="138" customWidth="1"/>
    <col min="13833" max="13833" width="10.77734375" style="138" customWidth="1"/>
    <col min="13834" max="13834" width="13.109375" style="138" customWidth="1"/>
    <col min="13835" max="13835" width="11.44140625" style="138" customWidth="1"/>
    <col min="13836" max="13837" width="12.33203125" style="138" customWidth="1"/>
    <col min="13838" max="13838" width="13.109375" style="138" customWidth="1"/>
    <col min="13839" max="13839" width="18.44140625" style="138" customWidth="1"/>
    <col min="13840" max="13840" width="7.33203125" style="138" customWidth="1"/>
    <col min="13841" max="14079" width="8.77734375" style="138"/>
    <col min="14080" max="14080" width="5.33203125" style="138" customWidth="1"/>
    <col min="14081" max="14081" width="5.44140625" style="138" customWidth="1"/>
    <col min="14082" max="14082" width="40.77734375" style="138" customWidth="1"/>
    <col min="14083" max="14083" width="9.77734375" style="138" customWidth="1"/>
    <col min="14084" max="14084" width="13" style="138" customWidth="1"/>
    <col min="14085" max="14085" width="13.109375" style="138" customWidth="1"/>
    <col min="14086" max="14086" width="12.33203125" style="138" customWidth="1"/>
    <col min="14087" max="14087" width="11.33203125" style="138" customWidth="1"/>
    <col min="14088" max="14088" width="11.77734375" style="138" customWidth="1"/>
    <col min="14089" max="14089" width="10.77734375" style="138" customWidth="1"/>
    <col min="14090" max="14090" width="13.109375" style="138" customWidth="1"/>
    <col min="14091" max="14091" width="11.44140625" style="138" customWidth="1"/>
    <col min="14092" max="14093" width="12.33203125" style="138" customWidth="1"/>
    <col min="14094" max="14094" width="13.109375" style="138" customWidth="1"/>
    <col min="14095" max="14095" width="18.44140625" style="138" customWidth="1"/>
    <col min="14096" max="14096" width="7.33203125" style="138" customWidth="1"/>
    <col min="14097" max="14335" width="8.77734375" style="138"/>
    <col min="14336" max="14336" width="5.33203125" style="138" customWidth="1"/>
    <col min="14337" max="14337" width="5.44140625" style="138" customWidth="1"/>
    <col min="14338" max="14338" width="40.77734375" style="138" customWidth="1"/>
    <col min="14339" max="14339" width="9.77734375" style="138" customWidth="1"/>
    <col min="14340" max="14340" width="13" style="138" customWidth="1"/>
    <col min="14341" max="14341" width="13.109375" style="138" customWidth="1"/>
    <col min="14342" max="14342" width="12.33203125" style="138" customWidth="1"/>
    <col min="14343" max="14343" width="11.33203125" style="138" customWidth="1"/>
    <col min="14344" max="14344" width="11.77734375" style="138" customWidth="1"/>
    <col min="14345" max="14345" width="10.77734375" style="138" customWidth="1"/>
    <col min="14346" max="14346" width="13.109375" style="138" customWidth="1"/>
    <col min="14347" max="14347" width="11.44140625" style="138" customWidth="1"/>
    <col min="14348" max="14349" width="12.33203125" style="138" customWidth="1"/>
    <col min="14350" max="14350" width="13.109375" style="138" customWidth="1"/>
    <col min="14351" max="14351" width="18.44140625" style="138" customWidth="1"/>
    <col min="14352" max="14352" width="7.33203125" style="138" customWidth="1"/>
    <col min="14353" max="14591" width="8.77734375" style="138"/>
    <col min="14592" max="14592" width="5.33203125" style="138" customWidth="1"/>
    <col min="14593" max="14593" width="5.44140625" style="138" customWidth="1"/>
    <col min="14594" max="14594" width="40.77734375" style="138" customWidth="1"/>
    <col min="14595" max="14595" width="9.77734375" style="138" customWidth="1"/>
    <col min="14596" max="14596" width="13" style="138" customWidth="1"/>
    <col min="14597" max="14597" width="13.109375" style="138" customWidth="1"/>
    <col min="14598" max="14598" width="12.33203125" style="138" customWidth="1"/>
    <col min="14599" max="14599" width="11.33203125" style="138" customWidth="1"/>
    <col min="14600" max="14600" width="11.77734375" style="138" customWidth="1"/>
    <col min="14601" max="14601" width="10.77734375" style="138" customWidth="1"/>
    <col min="14602" max="14602" width="13.109375" style="138" customWidth="1"/>
    <col min="14603" max="14603" width="11.44140625" style="138" customWidth="1"/>
    <col min="14604" max="14605" width="12.33203125" style="138" customWidth="1"/>
    <col min="14606" max="14606" width="13.109375" style="138" customWidth="1"/>
    <col min="14607" max="14607" width="18.44140625" style="138" customWidth="1"/>
    <col min="14608" max="14608" width="7.33203125" style="138" customWidth="1"/>
    <col min="14609" max="14847" width="8.77734375" style="138"/>
    <col min="14848" max="14848" width="5.33203125" style="138" customWidth="1"/>
    <col min="14849" max="14849" width="5.44140625" style="138" customWidth="1"/>
    <col min="14850" max="14850" width="40.77734375" style="138" customWidth="1"/>
    <col min="14851" max="14851" width="9.77734375" style="138" customWidth="1"/>
    <col min="14852" max="14852" width="13" style="138" customWidth="1"/>
    <col min="14853" max="14853" width="13.109375" style="138" customWidth="1"/>
    <col min="14854" max="14854" width="12.33203125" style="138" customWidth="1"/>
    <col min="14855" max="14855" width="11.33203125" style="138" customWidth="1"/>
    <col min="14856" max="14856" width="11.77734375" style="138" customWidth="1"/>
    <col min="14857" max="14857" width="10.77734375" style="138" customWidth="1"/>
    <col min="14858" max="14858" width="13.109375" style="138" customWidth="1"/>
    <col min="14859" max="14859" width="11.44140625" style="138" customWidth="1"/>
    <col min="14860" max="14861" width="12.33203125" style="138" customWidth="1"/>
    <col min="14862" max="14862" width="13.109375" style="138" customWidth="1"/>
    <col min="14863" max="14863" width="18.44140625" style="138" customWidth="1"/>
    <col min="14864" max="14864" width="7.33203125" style="138" customWidth="1"/>
    <col min="14865" max="15103" width="8.77734375" style="138"/>
    <col min="15104" max="15104" width="5.33203125" style="138" customWidth="1"/>
    <col min="15105" max="15105" width="5.44140625" style="138" customWidth="1"/>
    <col min="15106" max="15106" width="40.77734375" style="138" customWidth="1"/>
    <col min="15107" max="15107" width="9.77734375" style="138" customWidth="1"/>
    <col min="15108" max="15108" width="13" style="138" customWidth="1"/>
    <col min="15109" max="15109" width="13.109375" style="138" customWidth="1"/>
    <col min="15110" max="15110" width="12.33203125" style="138" customWidth="1"/>
    <col min="15111" max="15111" width="11.33203125" style="138" customWidth="1"/>
    <col min="15112" max="15112" width="11.77734375" style="138" customWidth="1"/>
    <col min="15113" max="15113" width="10.77734375" style="138" customWidth="1"/>
    <col min="15114" max="15114" width="13.109375" style="138" customWidth="1"/>
    <col min="15115" max="15115" width="11.44140625" style="138" customWidth="1"/>
    <col min="15116" max="15117" width="12.33203125" style="138" customWidth="1"/>
    <col min="15118" max="15118" width="13.109375" style="138" customWidth="1"/>
    <col min="15119" max="15119" width="18.44140625" style="138" customWidth="1"/>
    <col min="15120" max="15120" width="7.33203125" style="138" customWidth="1"/>
    <col min="15121" max="15359" width="8.77734375" style="138"/>
    <col min="15360" max="15360" width="5.33203125" style="138" customWidth="1"/>
    <col min="15361" max="15361" width="5.44140625" style="138" customWidth="1"/>
    <col min="15362" max="15362" width="40.77734375" style="138" customWidth="1"/>
    <col min="15363" max="15363" width="9.77734375" style="138" customWidth="1"/>
    <col min="15364" max="15364" width="13" style="138" customWidth="1"/>
    <col min="15365" max="15365" width="13.109375" style="138" customWidth="1"/>
    <col min="15366" max="15366" width="12.33203125" style="138" customWidth="1"/>
    <col min="15367" max="15367" width="11.33203125" style="138" customWidth="1"/>
    <col min="15368" max="15368" width="11.77734375" style="138" customWidth="1"/>
    <col min="15369" max="15369" width="10.77734375" style="138" customWidth="1"/>
    <col min="15370" max="15370" width="13.109375" style="138" customWidth="1"/>
    <col min="15371" max="15371" width="11.44140625" style="138" customWidth="1"/>
    <col min="15372" max="15373" width="12.33203125" style="138" customWidth="1"/>
    <col min="15374" max="15374" width="13.109375" style="138" customWidth="1"/>
    <col min="15375" max="15375" width="18.44140625" style="138" customWidth="1"/>
    <col min="15376" max="15376" width="7.33203125" style="138" customWidth="1"/>
    <col min="15377" max="15615" width="8.77734375" style="138"/>
    <col min="15616" max="15616" width="5.33203125" style="138" customWidth="1"/>
    <col min="15617" max="15617" width="5.44140625" style="138" customWidth="1"/>
    <col min="15618" max="15618" width="40.77734375" style="138" customWidth="1"/>
    <col min="15619" max="15619" width="9.77734375" style="138" customWidth="1"/>
    <col min="15620" max="15620" width="13" style="138" customWidth="1"/>
    <col min="15621" max="15621" width="13.109375" style="138" customWidth="1"/>
    <col min="15622" max="15622" width="12.33203125" style="138" customWidth="1"/>
    <col min="15623" max="15623" width="11.33203125" style="138" customWidth="1"/>
    <col min="15624" max="15624" width="11.77734375" style="138" customWidth="1"/>
    <col min="15625" max="15625" width="10.77734375" style="138" customWidth="1"/>
    <col min="15626" max="15626" width="13.109375" style="138" customWidth="1"/>
    <col min="15627" max="15627" width="11.44140625" style="138" customWidth="1"/>
    <col min="15628" max="15629" width="12.33203125" style="138" customWidth="1"/>
    <col min="15630" max="15630" width="13.109375" style="138" customWidth="1"/>
    <col min="15631" max="15631" width="18.44140625" style="138" customWidth="1"/>
    <col min="15632" max="15632" width="7.33203125" style="138" customWidth="1"/>
    <col min="15633" max="15871" width="8.77734375" style="138"/>
    <col min="15872" max="15872" width="5.33203125" style="138" customWidth="1"/>
    <col min="15873" max="15873" width="5.44140625" style="138" customWidth="1"/>
    <col min="15874" max="15874" width="40.77734375" style="138" customWidth="1"/>
    <col min="15875" max="15875" width="9.77734375" style="138" customWidth="1"/>
    <col min="15876" max="15876" width="13" style="138" customWidth="1"/>
    <col min="15877" max="15877" width="13.109375" style="138" customWidth="1"/>
    <col min="15878" max="15878" width="12.33203125" style="138" customWidth="1"/>
    <col min="15879" max="15879" width="11.33203125" style="138" customWidth="1"/>
    <col min="15880" max="15880" width="11.77734375" style="138" customWidth="1"/>
    <col min="15881" max="15881" width="10.77734375" style="138" customWidth="1"/>
    <col min="15882" max="15882" width="13.109375" style="138" customWidth="1"/>
    <col min="15883" max="15883" width="11.44140625" style="138" customWidth="1"/>
    <col min="15884" max="15885" width="12.33203125" style="138" customWidth="1"/>
    <col min="15886" max="15886" width="13.109375" style="138" customWidth="1"/>
    <col min="15887" max="15887" width="18.44140625" style="138" customWidth="1"/>
    <col min="15888" max="15888" width="7.33203125" style="138" customWidth="1"/>
    <col min="15889" max="16127" width="8.77734375" style="138"/>
    <col min="16128" max="16128" width="5.33203125" style="138" customWidth="1"/>
    <col min="16129" max="16129" width="5.44140625" style="138" customWidth="1"/>
    <col min="16130" max="16130" width="40.77734375" style="138" customWidth="1"/>
    <col min="16131" max="16131" width="9.77734375" style="138" customWidth="1"/>
    <col min="16132" max="16132" width="13" style="138" customWidth="1"/>
    <col min="16133" max="16133" width="13.109375" style="138" customWidth="1"/>
    <col min="16134" max="16134" width="12.33203125" style="138" customWidth="1"/>
    <col min="16135" max="16135" width="11.33203125" style="138" customWidth="1"/>
    <col min="16136" max="16136" width="11.77734375" style="138" customWidth="1"/>
    <col min="16137" max="16137" width="10.77734375" style="138" customWidth="1"/>
    <col min="16138" max="16138" width="13.109375" style="138" customWidth="1"/>
    <col min="16139" max="16139" width="11.44140625" style="138" customWidth="1"/>
    <col min="16140" max="16141" width="12.33203125" style="138" customWidth="1"/>
    <col min="16142" max="16142" width="13.109375" style="138" customWidth="1"/>
    <col min="16143" max="16143" width="18.44140625" style="138" customWidth="1"/>
    <col min="16144" max="16144" width="7.33203125" style="138" customWidth="1"/>
    <col min="16145" max="16384" width="8.77734375" style="138"/>
  </cols>
  <sheetData>
    <row r="1" spans="1:15" ht="13.8" x14ac:dyDescent="0.3">
      <c r="A1" s="839" t="s">
        <v>89</v>
      </c>
      <c r="B1" s="839" t="s">
        <v>90</v>
      </c>
      <c r="C1" s="837" t="s">
        <v>128</v>
      </c>
      <c r="D1" s="839" t="s">
        <v>215</v>
      </c>
      <c r="E1" s="841" t="s">
        <v>135</v>
      </c>
      <c r="F1" s="841"/>
      <c r="G1" s="841"/>
      <c r="H1" s="841"/>
      <c r="I1" s="841"/>
      <c r="J1" s="841"/>
      <c r="K1" s="841"/>
      <c r="L1" s="838" t="s">
        <v>197</v>
      </c>
      <c r="M1" s="838"/>
      <c r="N1" s="838"/>
      <c r="O1" s="837" t="s">
        <v>13</v>
      </c>
    </row>
    <row r="2" spans="1:15" s="141" customFormat="1" ht="69" customHeight="1" x14ac:dyDescent="0.25">
      <c r="A2" s="839"/>
      <c r="B2" s="839"/>
      <c r="C2" s="837"/>
      <c r="D2" s="840"/>
      <c r="E2" s="139" t="s">
        <v>14</v>
      </c>
      <c r="F2" s="139" t="s">
        <v>15</v>
      </c>
      <c r="G2" s="702" t="s">
        <v>16</v>
      </c>
      <c r="H2" s="140" t="s">
        <v>193</v>
      </c>
      <c r="I2" s="702" t="s">
        <v>194</v>
      </c>
      <c r="J2" s="702" t="s">
        <v>195</v>
      </c>
      <c r="K2" s="702" t="s">
        <v>196</v>
      </c>
      <c r="L2" s="702" t="s">
        <v>136</v>
      </c>
      <c r="M2" s="702" t="s">
        <v>137</v>
      </c>
      <c r="N2" s="702" t="s">
        <v>139</v>
      </c>
      <c r="O2" s="837"/>
    </row>
    <row r="3" spans="1:15" s="141" customFormat="1" ht="12.9" customHeight="1" x14ac:dyDescent="0.25">
      <c r="A3" s="142">
        <v>1</v>
      </c>
      <c r="B3" s="142"/>
      <c r="C3" s="289" t="s">
        <v>182</v>
      </c>
      <c r="D3" s="290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</row>
    <row r="4" spans="1:15" s="141" customFormat="1" ht="12.9" customHeight="1" x14ac:dyDescent="0.25">
      <c r="A4" s="143">
        <v>1</v>
      </c>
      <c r="B4" s="143">
        <v>1</v>
      </c>
      <c r="C4" s="292" t="s">
        <v>5</v>
      </c>
      <c r="D4" s="144"/>
      <c r="E4" s="293"/>
      <c r="F4" s="293"/>
      <c r="G4" s="293"/>
      <c r="H4" s="293"/>
      <c r="I4" s="293"/>
      <c r="J4" s="293"/>
      <c r="K4" s="293"/>
      <c r="L4" s="293"/>
      <c r="M4" s="293"/>
      <c r="N4" s="293"/>
      <c r="O4" s="293"/>
    </row>
    <row r="5" spans="1:15" s="146" customFormat="1" ht="13.5" customHeight="1" x14ac:dyDescent="0.25">
      <c r="A5" s="145">
        <v>1</v>
      </c>
      <c r="B5" s="145">
        <v>12</v>
      </c>
      <c r="C5" s="294" t="s">
        <v>101</v>
      </c>
      <c r="D5" s="295"/>
      <c r="E5" s="296"/>
      <c r="F5" s="296"/>
      <c r="G5" s="297"/>
      <c r="H5" s="297"/>
      <c r="I5" s="297"/>
      <c r="J5" s="297"/>
      <c r="K5" s="297"/>
      <c r="L5" s="297"/>
      <c r="M5" s="297"/>
      <c r="N5" s="297"/>
      <c r="O5" s="297"/>
    </row>
    <row r="6" spans="1:15" s="146" customFormat="1" ht="24.9" hidden="1" customHeight="1" x14ac:dyDescent="0.25">
      <c r="A6" s="145"/>
      <c r="B6" s="145"/>
      <c r="C6" s="298" t="s">
        <v>216</v>
      </c>
      <c r="D6" s="299"/>
      <c r="E6" s="296"/>
      <c r="F6" s="296"/>
      <c r="G6" s="297"/>
      <c r="H6" s="297"/>
      <c r="I6" s="297"/>
      <c r="J6" s="297"/>
      <c r="K6" s="297"/>
      <c r="L6" s="297"/>
      <c r="M6" s="297"/>
      <c r="N6" s="297"/>
      <c r="O6" s="297"/>
    </row>
    <row r="7" spans="1:15" s="146" customFormat="1" ht="17.100000000000001" hidden="1" customHeight="1" x14ac:dyDescent="0.25">
      <c r="A7" s="143"/>
      <c r="B7" s="143"/>
      <c r="C7" s="300" t="s">
        <v>217</v>
      </c>
      <c r="D7" s="301" t="s">
        <v>218</v>
      </c>
      <c r="E7" s="297"/>
      <c r="F7" s="297"/>
      <c r="G7" s="297"/>
      <c r="H7" s="297"/>
      <c r="I7" s="297"/>
      <c r="J7" s="297"/>
      <c r="K7" s="297"/>
      <c r="L7" s="297"/>
      <c r="M7" s="297"/>
      <c r="N7" s="297"/>
      <c r="O7" s="297">
        <f>SUM(H7:N7)</f>
        <v>0</v>
      </c>
    </row>
    <row r="8" spans="1:15" s="146" customFormat="1" ht="13.5" customHeight="1" x14ac:dyDescent="0.25">
      <c r="A8" s="147"/>
      <c r="B8" s="147"/>
      <c r="C8" s="302" t="s">
        <v>219</v>
      </c>
      <c r="D8" s="303"/>
      <c r="E8" s="303">
        <f t="shared" ref="E8:K8" si="0">SUM(E5:E7)</f>
        <v>0</v>
      </c>
      <c r="F8" s="303">
        <f t="shared" si="0"/>
        <v>0</v>
      </c>
      <c r="G8" s="303">
        <f t="shared" si="0"/>
        <v>0</v>
      </c>
      <c r="H8" s="303">
        <f t="shared" si="0"/>
        <v>0</v>
      </c>
      <c r="I8" s="303">
        <f t="shared" si="0"/>
        <v>0</v>
      </c>
      <c r="J8" s="303">
        <f t="shared" si="0"/>
        <v>0</v>
      </c>
      <c r="K8" s="303">
        <f t="shared" si="0"/>
        <v>0</v>
      </c>
      <c r="L8" s="303"/>
      <c r="M8" s="303"/>
      <c r="N8" s="303">
        <f>SUM(N7:N7)</f>
        <v>0</v>
      </c>
      <c r="O8" s="303">
        <f>SUM(O7:O7)</f>
        <v>0</v>
      </c>
    </row>
    <row r="9" spans="1:15" s="146" customFormat="1" ht="13.5" customHeight="1" x14ac:dyDescent="0.25">
      <c r="A9" s="144">
        <v>1</v>
      </c>
      <c r="B9" s="144">
        <v>13</v>
      </c>
      <c r="C9" s="294" t="s">
        <v>102</v>
      </c>
      <c r="D9" s="301"/>
      <c r="E9" s="148"/>
      <c r="F9" s="304"/>
      <c r="G9" s="304"/>
      <c r="H9" s="304"/>
      <c r="I9" s="304"/>
      <c r="J9" s="304"/>
      <c r="K9" s="304"/>
      <c r="L9" s="304"/>
      <c r="M9" s="304"/>
      <c r="N9" s="304"/>
      <c r="O9" s="304"/>
    </row>
    <row r="10" spans="1:15" s="146" customFormat="1" ht="13.5" hidden="1" customHeight="1" x14ac:dyDescent="0.25">
      <c r="A10" s="144"/>
      <c r="B10" s="144"/>
      <c r="C10" s="298" t="s">
        <v>220</v>
      </c>
      <c r="D10" s="301"/>
      <c r="E10" s="297"/>
      <c r="F10" s="297"/>
      <c r="G10" s="297"/>
      <c r="H10" s="297"/>
      <c r="I10" s="297"/>
      <c r="J10" s="297"/>
      <c r="K10" s="297"/>
      <c r="L10" s="297"/>
      <c r="M10" s="297"/>
      <c r="N10" s="297"/>
      <c r="O10" s="297"/>
    </row>
    <row r="11" spans="1:15" s="146" customFormat="1" ht="24.9" hidden="1" customHeight="1" x14ac:dyDescent="0.25">
      <c r="A11" s="144"/>
      <c r="B11" s="144"/>
      <c r="C11" s="298" t="s">
        <v>221</v>
      </c>
      <c r="D11" s="305">
        <v>131705</v>
      </c>
      <c r="E11" s="297"/>
      <c r="F11" s="464"/>
      <c r="G11" s="464"/>
      <c r="H11" s="464"/>
      <c r="I11" s="297"/>
      <c r="J11" s="297"/>
      <c r="K11" s="297"/>
      <c r="L11" s="297"/>
      <c r="M11" s="297"/>
      <c r="N11" s="297"/>
      <c r="O11" s="297">
        <f>SUM(E11:N11)</f>
        <v>0</v>
      </c>
    </row>
    <row r="12" spans="1:15" s="146" customFormat="1" ht="24.9" hidden="1" customHeight="1" x14ac:dyDescent="0.25">
      <c r="A12" s="144"/>
      <c r="B12" s="144"/>
      <c r="C12" s="307" t="s">
        <v>222</v>
      </c>
      <c r="D12" s="301" t="s">
        <v>88</v>
      </c>
      <c r="E12" s="297"/>
      <c r="F12" s="297"/>
      <c r="G12" s="297"/>
      <c r="H12" s="297"/>
      <c r="I12" s="297"/>
      <c r="J12" s="297"/>
      <c r="K12" s="297"/>
      <c r="L12" s="297"/>
      <c r="M12" s="297"/>
      <c r="N12" s="297"/>
      <c r="O12" s="308"/>
    </row>
    <row r="13" spans="1:15" s="146" customFormat="1" ht="24.9" hidden="1" customHeight="1" x14ac:dyDescent="0.25">
      <c r="A13" s="144"/>
      <c r="B13" s="144"/>
      <c r="C13" s="307" t="s">
        <v>223</v>
      </c>
      <c r="D13" s="305">
        <v>131703</v>
      </c>
      <c r="E13" s="297"/>
      <c r="F13" s="297"/>
      <c r="G13" s="297"/>
      <c r="H13" s="297"/>
      <c r="I13" s="297"/>
      <c r="J13" s="297"/>
      <c r="K13" s="297"/>
      <c r="L13" s="297"/>
      <c r="M13" s="297"/>
      <c r="N13" s="297"/>
      <c r="O13" s="297">
        <f>SUM(E13:N13)</f>
        <v>0</v>
      </c>
    </row>
    <row r="14" spans="1:15" s="146" customFormat="1" ht="24.9" customHeight="1" x14ac:dyDescent="0.25">
      <c r="A14" s="754"/>
      <c r="B14" s="754"/>
      <c r="C14" s="820" t="s">
        <v>225</v>
      </c>
      <c r="D14" s="821"/>
      <c r="E14" s="747"/>
      <c r="F14" s="747"/>
      <c r="G14" s="747"/>
      <c r="H14" s="747"/>
      <c r="I14" s="747"/>
      <c r="J14" s="747"/>
      <c r="K14" s="747"/>
      <c r="L14" s="747"/>
      <c r="M14" s="747"/>
      <c r="N14" s="747"/>
      <c r="O14" s="297">
        <f t="shared" ref="O14:O15" si="1">SUM(E14:N14)</f>
        <v>0</v>
      </c>
    </row>
    <row r="15" spans="1:15" s="146" customFormat="1" ht="24.9" customHeight="1" x14ac:dyDescent="0.25">
      <c r="A15" s="754"/>
      <c r="B15" s="754"/>
      <c r="C15" s="763" t="s">
        <v>1315</v>
      </c>
      <c r="D15" s="821">
        <v>132940</v>
      </c>
      <c r="E15" s="747"/>
      <c r="F15" s="747">
        <v>4000</v>
      </c>
      <c r="G15" s="747"/>
      <c r="H15" s="747"/>
      <c r="I15" s="747"/>
      <c r="J15" s="747"/>
      <c r="K15" s="747"/>
      <c r="L15" s="747"/>
      <c r="M15" s="747"/>
      <c r="N15" s="747"/>
      <c r="O15" s="297">
        <f t="shared" si="1"/>
        <v>4000</v>
      </c>
    </row>
    <row r="16" spans="1:15" s="146" customFormat="1" ht="25.5" hidden="1" customHeight="1" x14ac:dyDescent="0.25">
      <c r="A16" s="144"/>
      <c r="B16" s="144"/>
      <c r="C16" s="298" t="s">
        <v>870</v>
      </c>
      <c r="D16" s="305"/>
      <c r="E16" s="464"/>
      <c r="F16" s="464"/>
      <c r="G16" s="464"/>
      <c r="H16" s="464"/>
      <c r="I16" s="297"/>
      <c r="J16" s="297"/>
      <c r="K16" s="297"/>
      <c r="L16" s="297"/>
      <c r="M16" s="297"/>
      <c r="N16" s="297"/>
      <c r="O16" s="297"/>
    </row>
    <row r="17" spans="1:16" s="146" customFormat="1" ht="24.9" hidden="1" customHeight="1" x14ac:dyDescent="0.25">
      <c r="A17" s="144"/>
      <c r="B17" s="144"/>
      <c r="C17" s="309" t="s">
        <v>871</v>
      </c>
      <c r="D17" s="305">
        <v>131508</v>
      </c>
      <c r="E17" s="297"/>
      <c r="F17" s="464"/>
      <c r="G17" s="464"/>
      <c r="H17" s="464"/>
      <c r="I17" s="297"/>
      <c r="J17" s="297"/>
      <c r="K17" s="297"/>
      <c r="L17" s="297"/>
      <c r="M17" s="297"/>
      <c r="N17" s="297"/>
      <c r="O17" s="297">
        <f t="shared" ref="O17:O18" si="2">SUM(E17:N17)</f>
        <v>0</v>
      </c>
    </row>
    <row r="18" spans="1:16" s="146" customFormat="1" ht="24.75" hidden="1" customHeight="1" x14ac:dyDescent="0.25">
      <c r="A18" s="144"/>
      <c r="B18" s="144"/>
      <c r="C18" s="309" t="s">
        <v>872</v>
      </c>
      <c r="D18" s="305">
        <v>131509</v>
      </c>
      <c r="E18" s="297"/>
      <c r="F18" s="464"/>
      <c r="G18" s="464"/>
      <c r="H18" s="464"/>
      <c r="I18" s="297"/>
      <c r="J18" s="297"/>
      <c r="K18" s="297"/>
      <c r="L18" s="297"/>
      <c r="M18" s="297"/>
      <c r="N18" s="297"/>
      <c r="O18" s="297">
        <f t="shared" si="2"/>
        <v>0</v>
      </c>
    </row>
    <row r="19" spans="1:16" s="146" customFormat="1" ht="13.5" customHeight="1" x14ac:dyDescent="0.25">
      <c r="A19" s="147"/>
      <c r="B19" s="147"/>
      <c r="C19" s="302" t="s">
        <v>224</v>
      </c>
      <c r="D19" s="310"/>
      <c r="E19" s="303">
        <f t="shared" ref="E19:O19" si="3">SUM(E11:E18)</f>
        <v>0</v>
      </c>
      <c r="F19" s="303">
        <f t="shared" si="3"/>
        <v>4000</v>
      </c>
      <c r="G19" s="303">
        <f t="shared" si="3"/>
        <v>0</v>
      </c>
      <c r="H19" s="303">
        <f t="shared" si="3"/>
        <v>0</v>
      </c>
      <c r="I19" s="303">
        <f t="shared" si="3"/>
        <v>0</v>
      </c>
      <c r="J19" s="303">
        <f t="shared" si="3"/>
        <v>0</v>
      </c>
      <c r="K19" s="303">
        <f t="shared" si="3"/>
        <v>0</v>
      </c>
      <c r="L19" s="303">
        <f t="shared" si="3"/>
        <v>0</v>
      </c>
      <c r="M19" s="303">
        <f t="shared" si="3"/>
        <v>0</v>
      </c>
      <c r="N19" s="303">
        <f t="shared" si="3"/>
        <v>0</v>
      </c>
      <c r="O19" s="303">
        <f t="shared" si="3"/>
        <v>4000</v>
      </c>
    </row>
    <row r="20" spans="1:16" s="146" customFormat="1" ht="13.5" customHeight="1" x14ac:dyDescent="0.25">
      <c r="A20" s="311">
        <v>1</v>
      </c>
      <c r="B20" s="311">
        <v>14</v>
      </c>
      <c r="C20" s="312" t="s">
        <v>184</v>
      </c>
      <c r="D20" s="311"/>
      <c r="E20" s="304"/>
      <c r="F20" s="304"/>
      <c r="G20" s="304"/>
      <c r="H20" s="304"/>
      <c r="I20" s="304"/>
      <c r="J20" s="304"/>
      <c r="K20" s="304"/>
      <c r="L20" s="304"/>
      <c r="M20" s="304"/>
      <c r="N20" s="304"/>
      <c r="O20" s="304"/>
    </row>
    <row r="21" spans="1:16" s="146" customFormat="1" ht="24" customHeight="1" x14ac:dyDescent="0.25">
      <c r="A21" s="144"/>
      <c r="B21" s="144"/>
      <c r="C21" s="306" t="s">
        <v>225</v>
      </c>
      <c r="D21" s="311"/>
      <c r="E21" s="304"/>
      <c r="F21" s="304"/>
      <c r="G21" s="304"/>
      <c r="H21" s="304"/>
      <c r="I21" s="304"/>
      <c r="J21" s="304"/>
      <c r="K21" s="304"/>
      <c r="L21" s="304"/>
      <c r="M21" s="304"/>
      <c r="N21" s="304"/>
      <c r="O21" s="304"/>
    </row>
    <row r="22" spans="1:16" s="146" customFormat="1" ht="19.5" customHeight="1" x14ac:dyDescent="0.25">
      <c r="A22" s="144"/>
      <c r="B22" s="144"/>
      <c r="C22" s="313" t="s">
        <v>226</v>
      </c>
      <c r="D22" s="145">
        <v>171967</v>
      </c>
      <c r="E22" s="297"/>
      <c r="F22" s="297"/>
      <c r="G22" s="297"/>
      <c r="H22" s="297">
        <v>212</v>
      </c>
      <c r="I22" s="297"/>
      <c r="J22" s="297"/>
      <c r="K22" s="297"/>
      <c r="L22" s="297"/>
      <c r="M22" s="297"/>
      <c r="N22" s="297"/>
      <c r="O22" s="297">
        <f>SUM(E22:N22)</f>
        <v>212</v>
      </c>
    </row>
    <row r="23" spans="1:16" s="146" customFormat="1" ht="15.75" hidden="1" customHeight="1" x14ac:dyDescent="0.25">
      <c r="A23" s="144"/>
      <c r="B23" s="144"/>
      <c r="C23" s="314" t="s">
        <v>873</v>
      </c>
      <c r="D23" s="315">
        <v>164903</v>
      </c>
      <c r="E23" s="275"/>
      <c r="F23" s="275"/>
      <c r="G23" s="275"/>
      <c r="H23" s="275"/>
      <c r="I23" s="275"/>
      <c r="J23" s="275"/>
      <c r="K23" s="275"/>
      <c r="L23" s="275"/>
      <c r="M23" s="527"/>
      <c r="N23" s="275"/>
      <c r="O23" s="275">
        <f>SUM(E23:N23)</f>
        <v>0</v>
      </c>
      <c r="P23" s="602"/>
    </row>
    <row r="24" spans="1:16" s="146" customFormat="1" ht="13.5" customHeight="1" x14ac:dyDescent="0.25">
      <c r="A24" s="155"/>
      <c r="B24" s="155"/>
      <c r="C24" s="302" t="s">
        <v>227</v>
      </c>
      <c r="D24" s="465"/>
      <c r="E24" s="323"/>
      <c r="F24" s="323"/>
      <c r="G24" s="323"/>
      <c r="H24" s="323">
        <f>SUM(H22:H23)</f>
        <v>212</v>
      </c>
      <c r="I24" s="323">
        <f t="shared" ref="I24:O24" si="4">SUM(I22:I23)</f>
        <v>0</v>
      </c>
      <c r="J24" s="323">
        <f t="shared" si="4"/>
        <v>0</v>
      </c>
      <c r="K24" s="323">
        <f t="shared" si="4"/>
        <v>0</v>
      </c>
      <c r="L24" s="323">
        <f t="shared" si="4"/>
        <v>0</v>
      </c>
      <c r="M24" s="323">
        <f t="shared" si="4"/>
        <v>0</v>
      </c>
      <c r="N24" s="323">
        <f t="shared" si="4"/>
        <v>0</v>
      </c>
      <c r="O24" s="323">
        <f t="shared" si="4"/>
        <v>212</v>
      </c>
    </row>
    <row r="25" spans="1:16" s="141" customFormat="1" ht="13.5" customHeight="1" x14ac:dyDescent="0.25">
      <c r="A25" s="149">
        <v>1</v>
      </c>
      <c r="B25" s="149">
        <v>15</v>
      </c>
      <c r="C25" s="292" t="s">
        <v>131</v>
      </c>
      <c r="D25" s="156"/>
      <c r="E25" s="275"/>
      <c r="F25" s="275"/>
      <c r="G25" s="275"/>
      <c r="H25" s="275"/>
      <c r="I25" s="275"/>
      <c r="J25" s="275"/>
      <c r="K25" s="275"/>
      <c r="L25" s="275"/>
      <c r="M25" s="275"/>
      <c r="N25" s="275"/>
      <c r="O25" s="275"/>
    </row>
    <row r="26" spans="1:16" s="141" customFormat="1" ht="24.9" hidden="1" customHeight="1" x14ac:dyDescent="0.25">
      <c r="A26" s="149"/>
      <c r="B26" s="149"/>
      <c r="C26" s="309" t="s">
        <v>228</v>
      </c>
      <c r="D26" s="325"/>
      <c r="E26" s="157"/>
      <c r="F26" s="275"/>
      <c r="G26" s="275"/>
      <c r="H26" s="275"/>
      <c r="I26" s="275"/>
      <c r="J26" s="275"/>
      <c r="K26" s="275"/>
      <c r="L26" s="275"/>
      <c r="M26" s="275"/>
      <c r="N26" s="275"/>
      <c r="O26" s="275"/>
    </row>
    <row r="27" spans="1:16" s="141" customFormat="1" ht="18.600000000000001" hidden="1" customHeight="1" x14ac:dyDescent="0.25">
      <c r="A27" s="149"/>
      <c r="B27" s="149"/>
      <c r="C27" s="313" t="s">
        <v>229</v>
      </c>
      <c r="D27" s="325">
        <v>151906</v>
      </c>
      <c r="E27" s="275"/>
      <c r="F27" s="275"/>
      <c r="G27" s="275"/>
      <c r="H27" s="275"/>
      <c r="I27" s="466"/>
      <c r="J27" s="466"/>
      <c r="K27" s="466"/>
      <c r="L27" s="466"/>
      <c r="M27" s="466"/>
      <c r="N27" s="275"/>
      <c r="O27" s="275">
        <f>SUM(E27:N27)</f>
        <v>0</v>
      </c>
    </row>
    <row r="28" spans="1:16" s="141" customFormat="1" ht="15" hidden="1" customHeight="1" x14ac:dyDescent="0.25">
      <c r="A28" s="149"/>
      <c r="B28" s="149"/>
      <c r="C28" s="300" t="s">
        <v>230</v>
      </c>
      <c r="D28" s="467" t="s">
        <v>231</v>
      </c>
      <c r="E28" s="275"/>
      <c r="F28" s="275"/>
      <c r="G28" s="275"/>
      <c r="H28" s="275"/>
      <c r="I28" s="466"/>
      <c r="J28" s="466"/>
      <c r="K28" s="466"/>
      <c r="L28" s="466"/>
      <c r="M28" s="466"/>
      <c r="N28" s="275"/>
      <c r="O28" s="275">
        <f>SUM(E28:N28)</f>
        <v>0</v>
      </c>
    </row>
    <row r="29" spans="1:16" s="141" customFormat="1" ht="15" hidden="1" customHeight="1" x14ac:dyDescent="0.25">
      <c r="A29" s="149"/>
      <c r="B29" s="149"/>
      <c r="C29" s="300" t="s">
        <v>232</v>
      </c>
      <c r="D29" s="467" t="s">
        <v>233</v>
      </c>
      <c r="E29" s="275"/>
      <c r="F29" s="275"/>
      <c r="G29" s="275"/>
      <c r="H29" s="275"/>
      <c r="I29" s="466"/>
      <c r="J29" s="466"/>
      <c r="K29" s="466"/>
      <c r="L29" s="466"/>
      <c r="M29" s="466"/>
      <c r="N29" s="275"/>
      <c r="O29" s="275">
        <f>SUM(E29:N29)</f>
        <v>0</v>
      </c>
    </row>
    <row r="30" spans="1:16" s="141" customFormat="1" ht="15" hidden="1" customHeight="1" x14ac:dyDescent="0.25">
      <c r="A30" s="149"/>
      <c r="B30" s="149"/>
      <c r="C30" s="316" t="s">
        <v>234</v>
      </c>
      <c r="D30" s="468"/>
      <c r="E30" s="275"/>
      <c r="F30" s="275"/>
      <c r="G30" s="275"/>
      <c r="H30" s="275"/>
      <c r="I30" s="466"/>
      <c r="J30" s="466"/>
      <c r="K30" s="466"/>
      <c r="L30" s="466"/>
      <c r="M30" s="466"/>
      <c r="N30" s="275"/>
      <c r="O30" s="275"/>
    </row>
    <row r="31" spans="1:16" s="141" customFormat="1" ht="15" hidden="1" customHeight="1" x14ac:dyDescent="0.25">
      <c r="A31" s="149"/>
      <c r="B31" s="149"/>
      <c r="C31" s="300" t="s">
        <v>235</v>
      </c>
      <c r="D31" s="467" t="s">
        <v>236</v>
      </c>
      <c r="E31" s="275"/>
      <c r="F31" s="275"/>
      <c r="G31" s="275"/>
      <c r="H31" s="275"/>
      <c r="I31" s="466"/>
      <c r="J31" s="466"/>
      <c r="K31" s="466"/>
      <c r="L31" s="466"/>
      <c r="M31" s="466"/>
      <c r="N31" s="275"/>
      <c r="O31" s="275">
        <f>SUM(E31:N31)</f>
        <v>0</v>
      </c>
    </row>
    <row r="32" spans="1:16" s="141" customFormat="1" ht="15" hidden="1" customHeight="1" x14ac:dyDescent="0.25">
      <c r="A32" s="149"/>
      <c r="B32" s="149"/>
      <c r="C32" s="469" t="s">
        <v>237</v>
      </c>
      <c r="D32" s="467" t="s">
        <v>238</v>
      </c>
      <c r="E32" s="275"/>
      <c r="F32" s="275"/>
      <c r="G32" s="275"/>
      <c r="H32" s="275"/>
      <c r="I32" s="466"/>
      <c r="J32" s="466"/>
      <c r="K32" s="466"/>
      <c r="L32" s="466"/>
      <c r="M32" s="466"/>
      <c r="N32" s="275"/>
      <c r="O32" s="275">
        <f>SUM(E32:N32)</f>
        <v>0</v>
      </c>
    </row>
    <row r="33" spans="1:15" s="141" customFormat="1" ht="18" hidden="1" customHeight="1" x14ac:dyDescent="0.25">
      <c r="A33" s="149"/>
      <c r="B33" s="149"/>
      <c r="C33" s="559" t="s">
        <v>554</v>
      </c>
      <c r="D33" s="470" t="s">
        <v>874</v>
      </c>
      <c r="E33" s="275"/>
      <c r="F33" s="275"/>
      <c r="G33" s="275"/>
      <c r="H33" s="466"/>
      <c r="I33" s="466"/>
      <c r="J33" s="466"/>
      <c r="K33" s="466"/>
      <c r="L33" s="466"/>
      <c r="M33" s="527"/>
      <c r="N33" s="275"/>
      <c r="O33" s="275">
        <f t="shared" ref="O33" si="5">SUM(E33:N33)</f>
        <v>0</v>
      </c>
    </row>
    <row r="34" spans="1:15" s="141" customFormat="1" ht="18.600000000000001" hidden="1" customHeight="1" x14ac:dyDescent="0.25">
      <c r="A34" s="149"/>
      <c r="B34" s="149"/>
      <c r="C34" s="313" t="s">
        <v>240</v>
      </c>
      <c r="D34" s="470"/>
      <c r="E34" s="275"/>
      <c r="F34" s="275"/>
      <c r="G34" s="275"/>
      <c r="H34" s="275"/>
      <c r="I34" s="466"/>
      <c r="J34" s="466"/>
      <c r="K34" s="466"/>
      <c r="L34" s="466"/>
      <c r="M34" s="466"/>
      <c r="N34" s="275"/>
      <c r="O34" s="275"/>
    </row>
    <row r="35" spans="1:15" s="141" customFormat="1" ht="24.9" hidden="1" customHeight="1" thickBot="1" x14ac:dyDescent="0.3">
      <c r="A35" s="149"/>
      <c r="B35" s="149"/>
      <c r="C35" s="784" t="s">
        <v>241</v>
      </c>
      <c r="D35" s="785" t="s">
        <v>242</v>
      </c>
      <c r="E35" s="275"/>
      <c r="F35" s="275"/>
      <c r="G35" s="275"/>
      <c r="H35" s="275"/>
      <c r="I35" s="466"/>
      <c r="J35" s="466"/>
      <c r="K35" s="466"/>
      <c r="L35" s="466"/>
      <c r="M35" s="466"/>
      <c r="N35" s="275"/>
      <c r="O35" s="275">
        <f>SUM(E35:N35)</f>
        <v>0</v>
      </c>
    </row>
    <row r="36" spans="1:15" s="141" customFormat="1" ht="14.4" customHeight="1" x14ac:dyDescent="0.25">
      <c r="A36" s="745"/>
      <c r="B36" s="782"/>
      <c r="C36" s="786" t="s">
        <v>517</v>
      </c>
      <c r="D36" s="786"/>
      <c r="E36" s="783"/>
      <c r="F36" s="747"/>
      <c r="G36" s="747"/>
      <c r="H36" s="747"/>
      <c r="I36" s="748"/>
      <c r="J36" s="748"/>
      <c r="K36" s="748"/>
      <c r="L36" s="748"/>
      <c r="M36" s="748"/>
      <c r="N36" s="747"/>
      <c r="O36" s="275"/>
    </row>
    <row r="37" spans="1:15" s="141" customFormat="1" ht="16.2" customHeight="1" x14ac:dyDescent="0.25">
      <c r="A37" s="745"/>
      <c r="B37" s="782"/>
      <c r="C37" s="787" t="s">
        <v>1290</v>
      </c>
      <c r="D37" s="746" t="s">
        <v>1291</v>
      </c>
      <c r="E37" s="783"/>
      <c r="F37" s="747"/>
      <c r="G37" s="747"/>
      <c r="H37" s="747"/>
      <c r="I37" s="748"/>
      <c r="J37" s="748"/>
      <c r="K37" s="747">
        <v>509</v>
      </c>
      <c r="L37" s="748"/>
      <c r="M37" s="748"/>
      <c r="N37" s="747"/>
      <c r="O37" s="275">
        <f t="shared" ref="O37" si="6">SUM(E37:N37)</f>
        <v>509</v>
      </c>
    </row>
    <row r="38" spans="1:15" s="141" customFormat="1" ht="12.9" customHeight="1" x14ac:dyDescent="0.25">
      <c r="A38" s="155"/>
      <c r="B38" s="155"/>
      <c r="C38" s="560" t="s">
        <v>243</v>
      </c>
      <c r="D38" s="155"/>
      <c r="E38" s="323">
        <f>SUM(E26:E37)</f>
        <v>0</v>
      </c>
      <c r="F38" s="323">
        <f t="shared" ref="F38:O38" si="7">SUM(F26:F37)</f>
        <v>0</v>
      </c>
      <c r="G38" s="323">
        <f t="shared" si="7"/>
        <v>0</v>
      </c>
      <c r="H38" s="323">
        <f t="shared" si="7"/>
        <v>0</v>
      </c>
      <c r="I38" s="323">
        <f t="shared" si="7"/>
        <v>0</v>
      </c>
      <c r="J38" s="323">
        <f t="shared" si="7"/>
        <v>0</v>
      </c>
      <c r="K38" s="323">
        <f t="shared" si="7"/>
        <v>509</v>
      </c>
      <c r="L38" s="323">
        <f t="shared" si="7"/>
        <v>0</v>
      </c>
      <c r="M38" s="323">
        <f t="shared" si="7"/>
        <v>0</v>
      </c>
      <c r="N38" s="323">
        <f t="shared" si="7"/>
        <v>0</v>
      </c>
      <c r="O38" s="323">
        <f t="shared" si="7"/>
        <v>509</v>
      </c>
    </row>
    <row r="39" spans="1:15" s="141" customFormat="1" ht="12.9" customHeight="1" x14ac:dyDescent="0.25">
      <c r="A39" s="149">
        <v>1</v>
      </c>
      <c r="B39" s="149" t="s">
        <v>86</v>
      </c>
      <c r="C39" s="292" t="s">
        <v>120</v>
      </c>
      <c r="D39" s="156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</row>
    <row r="40" spans="1:15" s="141" customFormat="1" ht="21" customHeight="1" x14ac:dyDescent="0.25">
      <c r="A40" s="149"/>
      <c r="B40" s="149"/>
      <c r="C40" s="313" t="s">
        <v>244</v>
      </c>
      <c r="D40" s="325"/>
      <c r="E40" s="471"/>
      <c r="F40" s="275"/>
      <c r="G40" s="275"/>
      <c r="H40" s="275"/>
      <c r="I40" s="275"/>
      <c r="J40" s="275"/>
      <c r="K40" s="275"/>
      <c r="L40" s="275"/>
      <c r="M40" s="275"/>
      <c r="N40" s="275"/>
      <c r="O40" s="275"/>
    </row>
    <row r="41" spans="1:15" s="141" customFormat="1" ht="26.25" hidden="1" customHeight="1" x14ac:dyDescent="0.25">
      <c r="A41" s="149"/>
      <c r="B41" s="149"/>
      <c r="C41" s="298" t="s">
        <v>875</v>
      </c>
      <c r="D41" s="336">
        <v>161909</v>
      </c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275">
        <f>SUM(E41:N41)</f>
        <v>0</v>
      </c>
    </row>
    <row r="42" spans="1:15" s="141" customFormat="1" ht="19.2" hidden="1" customHeight="1" x14ac:dyDescent="0.25">
      <c r="A42" s="149"/>
      <c r="B42" s="149"/>
      <c r="C42" s="298" t="s">
        <v>859</v>
      </c>
      <c r="D42" s="336">
        <v>164106</v>
      </c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275">
        <f>SUM(E42:N42)</f>
        <v>0</v>
      </c>
    </row>
    <row r="43" spans="1:15" s="141" customFormat="1" ht="18" hidden="1" customHeight="1" x14ac:dyDescent="0.25">
      <c r="A43" s="149"/>
      <c r="B43" s="149"/>
      <c r="C43" s="298" t="s">
        <v>860</v>
      </c>
      <c r="D43" s="336">
        <v>164204</v>
      </c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275">
        <f>SUM(E43:N43)</f>
        <v>0</v>
      </c>
    </row>
    <row r="44" spans="1:15" s="141" customFormat="1" ht="35.4" customHeight="1" x14ac:dyDescent="0.25">
      <c r="A44" s="149"/>
      <c r="B44" s="149"/>
      <c r="C44" s="317" t="s">
        <v>245</v>
      </c>
      <c r="D44" s="336">
        <v>164205</v>
      </c>
      <c r="E44" s="319">
        <v>4455</v>
      </c>
      <c r="F44" s="319">
        <v>-4455</v>
      </c>
      <c r="G44" s="319"/>
      <c r="H44" s="557"/>
      <c r="I44" s="557"/>
      <c r="J44" s="557"/>
      <c r="K44" s="557"/>
      <c r="L44" s="557"/>
      <c r="M44" s="557"/>
      <c r="O44" s="275">
        <f>SUM(E44:N44)</f>
        <v>0</v>
      </c>
    </row>
    <row r="45" spans="1:15" s="141" customFormat="1" ht="31.2" hidden="1" customHeight="1" x14ac:dyDescent="0.25">
      <c r="A45" s="149"/>
      <c r="B45" s="149"/>
      <c r="C45" s="317" t="s">
        <v>246</v>
      </c>
      <c r="D45" s="336">
        <v>164206</v>
      </c>
      <c r="E45" s="319"/>
      <c r="F45" s="319"/>
      <c r="G45" s="319"/>
      <c r="H45" s="557"/>
      <c r="I45" s="557"/>
      <c r="J45" s="557"/>
      <c r="K45" s="557"/>
      <c r="L45" s="557"/>
      <c r="M45" s="557"/>
      <c r="N45" s="319"/>
      <c r="O45" s="275">
        <f t="shared" ref="O45:O47" si="8">SUM(E45:N45)</f>
        <v>0</v>
      </c>
    </row>
    <row r="46" spans="1:15" s="141" customFormat="1" ht="19.2" hidden="1" customHeight="1" x14ac:dyDescent="0.25">
      <c r="A46" s="521"/>
      <c r="B46" s="521"/>
      <c r="C46" s="561" t="s">
        <v>1115</v>
      </c>
      <c r="D46" s="564">
        <v>164109</v>
      </c>
      <c r="E46" s="530"/>
      <c r="F46" s="530"/>
      <c r="G46" s="530"/>
      <c r="H46" s="535"/>
      <c r="I46" s="535"/>
      <c r="J46" s="535"/>
      <c r="K46" s="535"/>
      <c r="L46" s="535"/>
      <c r="M46" s="535"/>
      <c r="N46" s="530"/>
      <c r="O46" s="275">
        <f t="shared" si="8"/>
        <v>0</v>
      </c>
    </row>
    <row r="47" spans="1:15" s="141" customFormat="1" ht="29.4" hidden="1" customHeight="1" x14ac:dyDescent="0.25">
      <c r="A47" s="521"/>
      <c r="B47" s="521"/>
      <c r="C47" s="561" t="s">
        <v>1222</v>
      </c>
      <c r="D47" s="564">
        <v>164207</v>
      </c>
      <c r="E47" s="530"/>
      <c r="F47" s="530"/>
      <c r="G47" s="530"/>
      <c r="H47" s="535"/>
      <c r="I47" s="535"/>
      <c r="J47" s="535"/>
      <c r="K47" s="535"/>
      <c r="L47" s="535"/>
      <c r="M47" s="535"/>
      <c r="N47" s="530"/>
      <c r="O47" s="275">
        <f t="shared" si="8"/>
        <v>0</v>
      </c>
    </row>
    <row r="48" spans="1:15" s="141" customFormat="1" ht="21" hidden="1" customHeight="1" x14ac:dyDescent="0.25">
      <c r="A48" s="149"/>
      <c r="B48" s="149"/>
      <c r="C48" s="313" t="s">
        <v>247</v>
      </c>
      <c r="D48" s="472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275"/>
    </row>
    <row r="49" spans="1:15" s="141" customFormat="1" ht="16.95" hidden="1" customHeight="1" x14ac:dyDescent="0.25">
      <c r="A49" s="149"/>
      <c r="B49" s="149"/>
      <c r="C49" s="316" t="s">
        <v>248</v>
      </c>
      <c r="D49" s="318">
        <v>162695</v>
      </c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275">
        <f t="shared" ref="O49:O87" si="9">SUM(E49:N49)</f>
        <v>0</v>
      </c>
    </row>
    <row r="50" spans="1:15" s="141" customFormat="1" ht="19.5" hidden="1" customHeight="1" x14ac:dyDescent="0.25">
      <c r="A50" s="149"/>
      <c r="B50" s="149"/>
      <c r="C50" s="551" t="s">
        <v>249</v>
      </c>
      <c r="D50" s="318">
        <v>162607</v>
      </c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275">
        <f t="shared" si="9"/>
        <v>0</v>
      </c>
    </row>
    <row r="51" spans="1:15" s="141" customFormat="1" ht="25.5" hidden="1" customHeight="1" x14ac:dyDescent="0.25">
      <c r="A51" s="149"/>
      <c r="B51" s="149"/>
      <c r="C51" s="150" t="s">
        <v>250</v>
      </c>
      <c r="D51" s="318">
        <v>162640</v>
      </c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275">
        <f t="shared" si="9"/>
        <v>0</v>
      </c>
    </row>
    <row r="52" spans="1:15" s="141" customFormat="1" ht="33.6" hidden="1" customHeight="1" x14ac:dyDescent="0.25">
      <c r="A52" s="149"/>
      <c r="B52" s="149"/>
      <c r="C52" s="539" t="s">
        <v>251</v>
      </c>
      <c r="D52" s="315">
        <v>163606</v>
      </c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275">
        <f t="shared" si="9"/>
        <v>0</v>
      </c>
    </row>
    <row r="53" spans="1:15" s="141" customFormat="1" ht="63" hidden="1" customHeight="1" x14ac:dyDescent="0.25">
      <c r="A53" s="149"/>
      <c r="B53" s="149"/>
      <c r="C53" s="542" t="s">
        <v>252</v>
      </c>
      <c r="D53" s="315">
        <v>163607</v>
      </c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275">
        <f t="shared" si="9"/>
        <v>0</v>
      </c>
    </row>
    <row r="54" spans="1:15" s="141" customFormat="1" ht="37.5" hidden="1" customHeight="1" x14ac:dyDescent="0.25">
      <c r="A54" s="149"/>
      <c r="B54" s="149"/>
      <c r="C54" s="542" t="s">
        <v>253</v>
      </c>
      <c r="D54" s="315">
        <v>163608</v>
      </c>
      <c r="E54" s="557"/>
      <c r="F54" s="557"/>
      <c r="G54" s="319"/>
      <c r="H54" s="319"/>
      <c r="I54" s="319"/>
      <c r="J54" s="319"/>
      <c r="K54" s="319"/>
      <c r="L54" s="319"/>
      <c r="M54" s="319"/>
      <c r="N54" s="319"/>
      <c r="O54" s="275">
        <f t="shared" si="9"/>
        <v>0</v>
      </c>
    </row>
    <row r="55" spans="1:15" s="141" customFormat="1" ht="37.5" hidden="1" customHeight="1" x14ac:dyDescent="0.25">
      <c r="A55" s="149"/>
      <c r="B55" s="149"/>
      <c r="C55" s="542" t="s">
        <v>254</v>
      </c>
      <c r="D55" s="315">
        <v>163609</v>
      </c>
      <c r="E55" s="557"/>
      <c r="F55" s="557"/>
      <c r="G55" s="319"/>
      <c r="H55" s="319"/>
      <c r="I55" s="319"/>
      <c r="J55" s="319"/>
      <c r="K55" s="319"/>
      <c r="L55" s="319"/>
      <c r="M55" s="319"/>
      <c r="N55" s="319"/>
      <c r="O55" s="275">
        <f t="shared" si="9"/>
        <v>0</v>
      </c>
    </row>
    <row r="56" spans="1:15" s="141" customFormat="1" ht="42" hidden="1" customHeight="1" x14ac:dyDescent="0.25">
      <c r="A56" s="149"/>
      <c r="B56" s="149"/>
      <c r="C56" s="543" t="s">
        <v>255</v>
      </c>
      <c r="D56" s="315">
        <v>163611</v>
      </c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275">
        <f t="shared" si="9"/>
        <v>0</v>
      </c>
    </row>
    <row r="57" spans="1:15" s="141" customFormat="1" ht="40.950000000000003" hidden="1" customHeight="1" x14ac:dyDescent="0.25">
      <c r="A57" s="149"/>
      <c r="B57" s="149"/>
      <c r="C57" s="546" t="s">
        <v>256</v>
      </c>
      <c r="D57" s="315">
        <v>163612</v>
      </c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275">
        <f t="shared" si="9"/>
        <v>0</v>
      </c>
    </row>
    <row r="58" spans="1:15" s="141" customFormat="1" ht="37.5" customHeight="1" x14ac:dyDescent="0.25">
      <c r="A58" s="149"/>
      <c r="B58" s="149"/>
      <c r="C58" s="546" t="s">
        <v>876</v>
      </c>
      <c r="D58" s="315">
        <v>163613</v>
      </c>
      <c r="E58" s="319"/>
      <c r="F58" s="319"/>
      <c r="G58" s="319"/>
      <c r="H58" s="319">
        <v>-345</v>
      </c>
      <c r="I58" s="319"/>
      <c r="J58" s="319"/>
      <c r="K58" s="319"/>
      <c r="L58" s="319"/>
      <c r="M58" s="319">
        <v>-1276</v>
      </c>
      <c r="N58" s="319"/>
      <c r="O58" s="275">
        <f t="shared" si="9"/>
        <v>-1621</v>
      </c>
    </row>
    <row r="59" spans="1:15" s="141" customFormat="1" ht="37.5" hidden="1" customHeight="1" x14ac:dyDescent="0.25">
      <c r="A59" s="149"/>
      <c r="B59" s="149"/>
      <c r="C59" s="546" t="s">
        <v>257</v>
      </c>
      <c r="D59" s="315">
        <v>163614</v>
      </c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275">
        <f t="shared" si="9"/>
        <v>0</v>
      </c>
    </row>
    <row r="60" spans="1:15" s="141" customFormat="1" ht="37.5" hidden="1" customHeight="1" x14ac:dyDescent="0.25">
      <c r="A60" s="149"/>
      <c r="B60" s="149"/>
      <c r="C60" s="546" t="s">
        <v>258</v>
      </c>
      <c r="D60" s="315">
        <v>163616</v>
      </c>
      <c r="E60" s="319"/>
      <c r="F60" s="319"/>
      <c r="G60" s="319"/>
      <c r="H60" s="319"/>
      <c r="I60" s="319"/>
      <c r="J60" s="319"/>
      <c r="K60" s="319"/>
      <c r="L60" s="319"/>
      <c r="M60" s="319"/>
      <c r="N60" s="319"/>
      <c r="O60" s="275">
        <f t="shared" si="9"/>
        <v>0</v>
      </c>
    </row>
    <row r="61" spans="1:15" s="141" customFormat="1" ht="37.5" hidden="1" customHeight="1" x14ac:dyDescent="0.25">
      <c r="A61" s="149"/>
      <c r="B61" s="149"/>
      <c r="C61" s="546" t="s">
        <v>259</v>
      </c>
      <c r="D61" s="318">
        <v>163623</v>
      </c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275">
        <f t="shared" si="9"/>
        <v>0</v>
      </c>
    </row>
    <row r="62" spans="1:15" s="141" customFormat="1" ht="27" hidden="1" customHeight="1" x14ac:dyDescent="0.25">
      <c r="A62" s="149"/>
      <c r="B62" s="149"/>
      <c r="C62" s="547" t="s">
        <v>1000</v>
      </c>
      <c r="D62" s="318">
        <v>163625</v>
      </c>
      <c r="E62" s="557"/>
      <c r="F62" s="557"/>
      <c r="G62" s="319"/>
      <c r="H62" s="319"/>
      <c r="I62" s="319"/>
      <c r="J62" s="319"/>
      <c r="K62" s="319"/>
      <c r="L62" s="319"/>
      <c r="M62" s="319"/>
      <c r="N62" s="319"/>
      <c r="O62" s="275">
        <f t="shared" si="9"/>
        <v>0</v>
      </c>
    </row>
    <row r="63" spans="1:15" s="141" customFormat="1" ht="38.25" hidden="1" customHeight="1" x14ac:dyDescent="0.25">
      <c r="A63" s="149"/>
      <c r="B63" s="149"/>
      <c r="C63" s="150" t="s">
        <v>260</v>
      </c>
      <c r="D63" s="318">
        <v>163626</v>
      </c>
      <c r="E63" s="557"/>
      <c r="F63" s="557"/>
      <c r="G63" s="319"/>
      <c r="H63" s="319"/>
      <c r="I63" s="319"/>
      <c r="J63" s="319"/>
      <c r="K63" s="319"/>
      <c r="L63" s="319"/>
      <c r="M63" s="319"/>
      <c r="N63" s="319"/>
      <c r="O63" s="275">
        <f t="shared" si="9"/>
        <v>0</v>
      </c>
    </row>
    <row r="64" spans="1:15" s="141" customFormat="1" ht="37.5" hidden="1" customHeight="1" x14ac:dyDescent="0.25">
      <c r="A64" s="149"/>
      <c r="B64" s="149"/>
      <c r="C64" s="548" t="s">
        <v>261</v>
      </c>
      <c r="D64" s="318">
        <v>163627</v>
      </c>
      <c r="E64" s="557"/>
      <c r="F64" s="557"/>
      <c r="G64" s="319"/>
      <c r="H64" s="319"/>
      <c r="I64" s="319"/>
      <c r="J64" s="319"/>
      <c r="K64" s="319"/>
      <c r="L64" s="319"/>
      <c r="M64" s="319"/>
      <c r="N64" s="319"/>
      <c r="O64" s="275">
        <f t="shared" si="9"/>
        <v>0</v>
      </c>
    </row>
    <row r="65" spans="1:15" s="141" customFormat="1" ht="41.25" hidden="1" customHeight="1" x14ac:dyDescent="0.25">
      <c r="A65" s="149"/>
      <c r="B65" s="149"/>
      <c r="C65" s="550" t="s">
        <v>263</v>
      </c>
      <c r="D65" s="318">
        <v>163628</v>
      </c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275">
        <f t="shared" si="9"/>
        <v>0</v>
      </c>
    </row>
    <row r="66" spans="1:15" s="141" customFormat="1" ht="30.75" hidden="1" customHeight="1" x14ac:dyDescent="0.25">
      <c r="A66" s="149"/>
      <c r="B66" s="149"/>
      <c r="C66" s="548" t="s">
        <v>262</v>
      </c>
      <c r="D66" s="318">
        <v>163629</v>
      </c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275">
        <f t="shared" si="9"/>
        <v>0</v>
      </c>
    </row>
    <row r="67" spans="1:15" s="141" customFormat="1" ht="41.25" hidden="1" customHeight="1" x14ac:dyDescent="0.25">
      <c r="A67" s="149"/>
      <c r="B67" s="149"/>
      <c r="C67" s="152" t="s">
        <v>264</v>
      </c>
      <c r="D67" s="318">
        <v>163633</v>
      </c>
      <c r="E67" s="319"/>
      <c r="F67" s="319"/>
      <c r="G67" s="319"/>
      <c r="H67" s="319"/>
      <c r="I67" s="319"/>
      <c r="J67" s="319"/>
      <c r="K67" s="319"/>
      <c r="L67" s="319"/>
      <c r="M67" s="319"/>
      <c r="N67" s="319"/>
      <c r="O67" s="275">
        <f t="shared" si="9"/>
        <v>0</v>
      </c>
    </row>
    <row r="68" spans="1:15" s="141" customFormat="1" ht="42.6" customHeight="1" x14ac:dyDescent="0.25">
      <c r="A68" s="149"/>
      <c r="B68" s="149"/>
      <c r="C68" s="150" t="s">
        <v>265</v>
      </c>
      <c r="D68" s="318">
        <v>163637</v>
      </c>
      <c r="E68" s="319"/>
      <c r="F68" s="319"/>
      <c r="G68" s="319"/>
      <c r="H68" s="319">
        <v>345</v>
      </c>
      <c r="I68" s="319"/>
      <c r="J68" s="319"/>
      <c r="K68" s="319"/>
      <c r="L68" s="319"/>
      <c r="M68" s="319">
        <v>1276</v>
      </c>
      <c r="N68" s="319"/>
      <c r="O68" s="275">
        <f t="shared" si="9"/>
        <v>1621</v>
      </c>
    </row>
    <row r="69" spans="1:15" s="141" customFormat="1" ht="30" hidden="1" customHeight="1" x14ac:dyDescent="0.25">
      <c r="A69" s="149"/>
      <c r="B69" s="149"/>
      <c r="C69" s="152" t="s">
        <v>266</v>
      </c>
      <c r="D69" s="318">
        <v>163638</v>
      </c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275">
        <f t="shared" si="9"/>
        <v>0</v>
      </c>
    </row>
    <row r="70" spans="1:15" s="141" customFormat="1" ht="28.5" hidden="1" customHeight="1" x14ac:dyDescent="0.25">
      <c r="A70" s="149"/>
      <c r="B70" s="149"/>
      <c r="C70" s="152" t="s">
        <v>267</v>
      </c>
      <c r="D70" s="318">
        <v>163639</v>
      </c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275">
        <f t="shared" si="9"/>
        <v>0</v>
      </c>
    </row>
    <row r="71" spans="1:15" s="141" customFormat="1" ht="28.5" hidden="1" customHeight="1" x14ac:dyDescent="0.25">
      <c r="A71" s="149"/>
      <c r="B71" s="149"/>
      <c r="C71" s="152" t="s">
        <v>268</v>
      </c>
      <c r="D71" s="318">
        <v>163640</v>
      </c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275">
        <f t="shared" si="9"/>
        <v>0</v>
      </c>
    </row>
    <row r="72" spans="1:15" s="141" customFormat="1" ht="28.5" hidden="1" customHeight="1" x14ac:dyDescent="0.25">
      <c r="A72" s="149"/>
      <c r="B72" s="149"/>
      <c r="C72" s="154" t="s">
        <v>877</v>
      </c>
      <c r="D72" s="320">
        <v>163648</v>
      </c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275">
        <f t="shared" si="9"/>
        <v>0</v>
      </c>
    </row>
    <row r="73" spans="1:15" s="141" customFormat="1" ht="53.25" hidden="1" customHeight="1" x14ac:dyDescent="0.25">
      <c r="A73" s="149"/>
      <c r="B73" s="149"/>
      <c r="C73" s="621" t="s">
        <v>1001</v>
      </c>
      <c r="D73" s="172">
        <v>163652</v>
      </c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275">
        <f t="shared" si="9"/>
        <v>0</v>
      </c>
    </row>
    <row r="74" spans="1:15" s="141" customFormat="1" ht="48.75" hidden="1" customHeight="1" x14ac:dyDescent="0.25">
      <c r="A74" s="149"/>
      <c r="B74" s="149"/>
      <c r="C74" s="622" t="s">
        <v>878</v>
      </c>
      <c r="D74" s="172">
        <v>163653</v>
      </c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275">
        <f t="shared" si="9"/>
        <v>0</v>
      </c>
    </row>
    <row r="75" spans="1:15" s="141" customFormat="1" ht="39.6" x14ac:dyDescent="0.25">
      <c r="A75" s="149"/>
      <c r="B75" s="149"/>
      <c r="C75" s="551" t="s">
        <v>269</v>
      </c>
      <c r="D75" s="318">
        <v>163621</v>
      </c>
      <c r="E75" s="319"/>
      <c r="F75" s="319"/>
      <c r="G75" s="319"/>
      <c r="H75" s="319">
        <v>5956</v>
      </c>
      <c r="I75" s="319"/>
      <c r="J75" s="319"/>
      <c r="K75" s="319"/>
      <c r="L75" s="319"/>
      <c r="M75" s="319"/>
      <c r="N75" s="319"/>
      <c r="O75" s="275">
        <f t="shared" si="9"/>
        <v>5956</v>
      </c>
    </row>
    <row r="76" spans="1:15" s="141" customFormat="1" ht="19.2" hidden="1" customHeight="1" x14ac:dyDescent="0.25">
      <c r="A76" s="149"/>
      <c r="B76" s="149"/>
      <c r="C76" s="552" t="s">
        <v>270</v>
      </c>
      <c r="D76" s="318">
        <v>162687</v>
      </c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275">
        <f t="shared" si="9"/>
        <v>0</v>
      </c>
    </row>
    <row r="77" spans="1:15" s="141" customFormat="1" ht="29.25" hidden="1" customHeight="1" x14ac:dyDescent="0.25">
      <c r="A77" s="149"/>
      <c r="B77" s="149"/>
      <c r="C77" s="150" t="s">
        <v>271</v>
      </c>
      <c r="D77" s="318">
        <v>163702</v>
      </c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275">
        <f t="shared" si="9"/>
        <v>0</v>
      </c>
    </row>
    <row r="78" spans="1:15" s="141" customFormat="1" ht="29.25" hidden="1" customHeight="1" x14ac:dyDescent="0.25">
      <c r="A78" s="149"/>
      <c r="B78" s="149"/>
      <c r="C78" s="150" t="s">
        <v>272</v>
      </c>
      <c r="D78" s="318">
        <v>163641</v>
      </c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275">
        <f t="shared" si="9"/>
        <v>0</v>
      </c>
    </row>
    <row r="79" spans="1:15" s="141" customFormat="1" ht="29.25" hidden="1" customHeight="1" x14ac:dyDescent="0.25">
      <c r="A79" s="149"/>
      <c r="B79" s="149"/>
      <c r="C79" s="553" t="s">
        <v>273</v>
      </c>
      <c r="D79" s="318">
        <v>163644</v>
      </c>
      <c r="E79" s="319"/>
      <c r="F79" s="319"/>
      <c r="G79" s="319"/>
      <c r="H79" s="319"/>
      <c r="I79" s="319"/>
      <c r="J79" s="319"/>
      <c r="K79" s="319"/>
      <c r="L79" s="319"/>
      <c r="M79" s="319"/>
      <c r="N79" s="319"/>
      <c r="O79" s="275">
        <f t="shared" si="9"/>
        <v>0</v>
      </c>
    </row>
    <row r="80" spans="1:15" s="141" customFormat="1" ht="36.75" customHeight="1" x14ac:dyDescent="0.25">
      <c r="A80" s="149"/>
      <c r="B80" s="149"/>
      <c r="C80" s="152" t="s">
        <v>1112</v>
      </c>
      <c r="D80" s="321">
        <v>163650</v>
      </c>
      <c r="E80" s="557">
        <v>700351</v>
      </c>
      <c r="F80" s="557">
        <v>-700351</v>
      </c>
      <c r="G80" s="319"/>
      <c r="H80" s="319">
        <v>9807</v>
      </c>
      <c r="I80" s="319"/>
      <c r="J80" s="319"/>
      <c r="K80" s="319"/>
      <c r="L80" s="319"/>
      <c r="M80" s="319"/>
      <c r="N80" s="319"/>
      <c r="O80" s="275">
        <f t="shared" si="9"/>
        <v>9807</v>
      </c>
    </row>
    <row r="81" spans="1:15" s="141" customFormat="1" ht="29.25" hidden="1" customHeight="1" x14ac:dyDescent="0.25">
      <c r="A81" s="149"/>
      <c r="B81" s="149"/>
      <c r="C81" s="150" t="s">
        <v>274</v>
      </c>
      <c r="D81" s="318">
        <v>163643</v>
      </c>
      <c r="E81" s="319"/>
      <c r="F81" s="319"/>
      <c r="G81" s="319"/>
      <c r="H81" s="319"/>
      <c r="I81" s="319"/>
      <c r="J81" s="319"/>
      <c r="K81" s="319"/>
      <c r="L81" s="319"/>
      <c r="M81" s="557"/>
      <c r="N81" s="319"/>
      <c r="O81" s="275">
        <f t="shared" si="9"/>
        <v>0</v>
      </c>
    </row>
    <row r="82" spans="1:15" s="141" customFormat="1" ht="48" hidden="1" customHeight="1" x14ac:dyDescent="0.25">
      <c r="A82" s="149"/>
      <c r="B82" s="149"/>
      <c r="C82" s="150" t="s">
        <v>275</v>
      </c>
      <c r="D82" s="318">
        <v>163645</v>
      </c>
      <c r="E82" s="319"/>
      <c r="F82" s="319"/>
      <c r="G82" s="319"/>
      <c r="H82" s="319"/>
      <c r="I82" s="319"/>
      <c r="J82" s="319"/>
      <c r="K82" s="319"/>
      <c r="L82" s="319"/>
      <c r="M82" s="557"/>
      <c r="N82" s="319"/>
      <c r="O82" s="275">
        <f t="shared" si="9"/>
        <v>0</v>
      </c>
    </row>
    <row r="83" spans="1:15" s="141" customFormat="1" ht="36.75" customHeight="1" x14ac:dyDescent="0.25">
      <c r="A83" s="149"/>
      <c r="B83" s="149"/>
      <c r="C83" s="554" t="s">
        <v>1111</v>
      </c>
      <c r="D83" s="802" t="s">
        <v>1313</v>
      </c>
      <c r="E83" s="319">
        <v>348405</v>
      </c>
      <c r="F83" s="319">
        <v>-467212</v>
      </c>
      <c r="G83" s="319"/>
      <c r="H83" s="319">
        <v>121340</v>
      </c>
      <c r="I83" s="319"/>
      <c r="J83" s="319"/>
      <c r="K83" s="319"/>
      <c r="L83" s="319"/>
      <c r="M83" s="319"/>
      <c r="N83" s="319"/>
      <c r="O83" s="275">
        <f t="shared" si="9"/>
        <v>2533</v>
      </c>
    </row>
    <row r="84" spans="1:15" s="141" customFormat="1" ht="15" hidden="1" customHeight="1" x14ac:dyDescent="0.25">
      <c r="A84" s="149"/>
      <c r="B84" s="149"/>
      <c r="C84" s="538" t="s">
        <v>276</v>
      </c>
      <c r="D84" s="318">
        <v>162630</v>
      </c>
      <c r="E84" s="319"/>
      <c r="F84" s="319"/>
      <c r="G84" s="319"/>
      <c r="H84" s="319"/>
      <c r="I84" s="319"/>
      <c r="J84" s="319"/>
      <c r="K84" s="319"/>
      <c r="L84" s="319"/>
      <c r="M84" s="319"/>
      <c r="N84" s="319"/>
      <c r="O84" s="275">
        <f t="shared" si="9"/>
        <v>0</v>
      </c>
    </row>
    <row r="85" spans="1:15" s="141" customFormat="1" ht="21.75" hidden="1" customHeight="1" x14ac:dyDescent="0.25">
      <c r="A85" s="149"/>
      <c r="B85" s="149"/>
      <c r="C85" s="154" t="s">
        <v>880</v>
      </c>
      <c r="D85" s="321">
        <v>163651</v>
      </c>
      <c r="E85" s="319"/>
      <c r="F85" s="319"/>
      <c r="G85" s="319"/>
      <c r="H85" s="319"/>
      <c r="I85" s="319"/>
      <c r="J85" s="319"/>
      <c r="K85" s="319"/>
      <c r="L85" s="319"/>
      <c r="M85" s="319"/>
      <c r="N85" s="319"/>
      <c r="O85" s="275">
        <f t="shared" si="9"/>
        <v>0</v>
      </c>
    </row>
    <row r="86" spans="1:15" s="141" customFormat="1" ht="28.95" hidden="1" customHeight="1" x14ac:dyDescent="0.25">
      <c r="A86" s="149"/>
      <c r="B86" s="149"/>
      <c r="C86" s="554" t="s">
        <v>1113</v>
      </c>
      <c r="D86" s="321">
        <v>163656</v>
      </c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275">
        <f t="shared" si="9"/>
        <v>0</v>
      </c>
    </row>
    <row r="87" spans="1:15" s="141" customFormat="1" ht="22.2" customHeight="1" x14ac:dyDescent="0.25">
      <c r="A87" s="745"/>
      <c r="B87" s="745"/>
      <c r="C87" s="823" t="s">
        <v>1316</v>
      </c>
      <c r="D87" s="822">
        <v>161908</v>
      </c>
      <c r="E87" s="750"/>
      <c r="F87" s="750"/>
      <c r="G87" s="750"/>
      <c r="H87" s="750">
        <v>7268</v>
      </c>
      <c r="I87" s="750"/>
      <c r="J87" s="750"/>
      <c r="K87" s="750"/>
      <c r="L87" s="750"/>
      <c r="M87" s="750"/>
      <c r="N87" s="750"/>
      <c r="O87" s="275">
        <f t="shared" si="9"/>
        <v>7268</v>
      </c>
    </row>
    <row r="88" spans="1:15" s="141" customFormat="1" ht="12.9" customHeight="1" x14ac:dyDescent="0.25">
      <c r="A88" s="155"/>
      <c r="B88" s="155"/>
      <c r="C88" s="322" t="s">
        <v>277</v>
      </c>
      <c r="D88" s="155"/>
      <c r="E88" s="323">
        <f>SUM(E40:E87)</f>
        <v>1053211</v>
      </c>
      <c r="F88" s="323">
        <f t="shared" ref="F88:O88" si="10">SUM(F40:F87)</f>
        <v>-1172018</v>
      </c>
      <c r="G88" s="323">
        <f t="shared" si="10"/>
        <v>0</v>
      </c>
      <c r="H88" s="323">
        <f t="shared" si="10"/>
        <v>144371</v>
      </c>
      <c r="I88" s="323">
        <f t="shared" si="10"/>
        <v>0</v>
      </c>
      <c r="J88" s="323">
        <f t="shared" si="10"/>
        <v>0</v>
      </c>
      <c r="K88" s="323">
        <f t="shared" si="10"/>
        <v>0</v>
      </c>
      <c r="L88" s="323">
        <f t="shared" si="10"/>
        <v>0</v>
      </c>
      <c r="M88" s="323">
        <f t="shared" si="10"/>
        <v>0</v>
      </c>
      <c r="N88" s="323">
        <f t="shared" si="10"/>
        <v>0</v>
      </c>
      <c r="O88" s="323">
        <f t="shared" si="10"/>
        <v>25564</v>
      </c>
    </row>
    <row r="89" spans="1:15" s="141" customFormat="1" ht="12.9" customHeight="1" x14ac:dyDescent="0.25">
      <c r="A89" s="149">
        <v>1</v>
      </c>
      <c r="B89" s="149">
        <v>17</v>
      </c>
      <c r="C89" s="324" t="s">
        <v>132</v>
      </c>
      <c r="D89" s="156"/>
      <c r="E89" s="275"/>
      <c r="F89" s="275"/>
      <c r="G89" s="275"/>
      <c r="H89" s="275"/>
      <c r="I89" s="275"/>
      <c r="J89" s="275"/>
      <c r="K89" s="275"/>
      <c r="L89" s="275"/>
      <c r="M89" s="275"/>
      <c r="N89" s="275"/>
      <c r="O89" s="275"/>
    </row>
    <row r="90" spans="1:15" s="141" customFormat="1" ht="24" hidden="1" customHeight="1" x14ac:dyDescent="0.25">
      <c r="A90" s="149"/>
      <c r="B90" s="149"/>
      <c r="C90" s="154" t="s">
        <v>247</v>
      </c>
      <c r="D90" s="325"/>
      <c r="E90" s="157"/>
      <c r="F90" s="275"/>
      <c r="G90" s="275"/>
      <c r="H90" s="275"/>
      <c r="I90" s="275"/>
      <c r="J90" s="275"/>
      <c r="K90" s="275"/>
      <c r="L90" s="275"/>
      <c r="M90" s="275"/>
      <c r="N90" s="275"/>
      <c r="O90" s="275"/>
    </row>
    <row r="91" spans="1:15" s="141" customFormat="1" ht="14.1" hidden="1" customHeight="1" x14ac:dyDescent="0.25">
      <c r="A91" s="149"/>
      <c r="B91" s="149"/>
      <c r="C91" s="158" t="s">
        <v>278</v>
      </c>
      <c r="D91" s="326">
        <v>171907</v>
      </c>
      <c r="E91" s="275"/>
      <c r="F91" s="275"/>
      <c r="G91" s="275"/>
      <c r="H91" s="275"/>
      <c r="I91" s="275"/>
      <c r="J91" s="275"/>
      <c r="K91" s="275"/>
      <c r="L91" s="275"/>
      <c r="M91" s="275"/>
      <c r="N91" s="275"/>
      <c r="O91" s="527">
        <f>SUM(E91:N91)</f>
        <v>0</v>
      </c>
    </row>
    <row r="92" spans="1:15" s="141" customFormat="1" ht="19.2" hidden="1" customHeight="1" x14ac:dyDescent="0.25">
      <c r="A92" s="149"/>
      <c r="B92" s="149"/>
      <c r="C92" s="620" t="s">
        <v>1221</v>
      </c>
      <c r="D92" s="619">
        <v>171923</v>
      </c>
      <c r="E92" s="275"/>
      <c r="F92" s="275"/>
      <c r="G92" s="275"/>
      <c r="H92" s="275"/>
      <c r="I92" s="275"/>
      <c r="J92" s="275"/>
      <c r="K92" s="275"/>
      <c r="L92" s="275"/>
      <c r="M92" s="275"/>
      <c r="N92" s="275"/>
      <c r="O92" s="275">
        <f>SUM(E92:N92)</f>
        <v>0</v>
      </c>
    </row>
    <row r="93" spans="1:15" s="141" customFormat="1" ht="17.399999999999999" hidden="1" customHeight="1" x14ac:dyDescent="0.25">
      <c r="A93" s="592"/>
      <c r="B93" s="592"/>
      <c r="C93" s="627" t="s">
        <v>1225</v>
      </c>
      <c r="D93" s="650">
        <v>171983</v>
      </c>
      <c r="E93" s="593"/>
      <c r="F93" s="593"/>
      <c r="G93" s="593"/>
      <c r="H93" s="593"/>
      <c r="I93" s="593"/>
      <c r="J93" s="593"/>
      <c r="K93" s="593"/>
      <c r="L93" s="593"/>
      <c r="M93" s="593"/>
      <c r="N93" s="593"/>
      <c r="O93" s="275">
        <f>SUM(E93:N93)</f>
        <v>0</v>
      </c>
    </row>
    <row r="94" spans="1:15" s="141" customFormat="1" ht="25.5" hidden="1" customHeight="1" x14ac:dyDescent="0.25">
      <c r="A94" s="149"/>
      <c r="B94" s="149"/>
      <c r="C94" s="327" t="s">
        <v>279</v>
      </c>
      <c r="D94" s="328"/>
      <c r="E94" s="275"/>
      <c r="F94" s="275"/>
      <c r="G94" s="275"/>
      <c r="H94" s="275"/>
      <c r="I94" s="275"/>
      <c r="J94" s="275"/>
      <c r="K94" s="275"/>
      <c r="L94" s="275"/>
      <c r="M94" s="275"/>
      <c r="N94" s="275"/>
      <c r="O94" s="275"/>
    </row>
    <row r="95" spans="1:15" s="141" customFormat="1" ht="14.1" hidden="1" customHeight="1" x14ac:dyDescent="0.25">
      <c r="A95" s="149"/>
      <c r="B95" s="149"/>
      <c r="C95" s="329" t="s">
        <v>280</v>
      </c>
      <c r="D95" s="330">
        <v>171980</v>
      </c>
      <c r="E95" s="275"/>
      <c r="F95" s="275"/>
      <c r="G95" s="275"/>
      <c r="H95" s="275"/>
      <c r="I95" s="466"/>
      <c r="J95" s="466"/>
      <c r="K95" s="466"/>
      <c r="L95" s="466"/>
      <c r="M95" s="466"/>
      <c r="N95" s="466"/>
      <c r="O95" s="275">
        <f>SUM(E95:N95)</f>
        <v>0</v>
      </c>
    </row>
    <row r="96" spans="1:15" s="141" customFormat="1" ht="26.25" hidden="1" customHeight="1" x14ac:dyDescent="0.25">
      <c r="A96" s="159"/>
      <c r="B96" s="159"/>
      <c r="C96" s="154" t="s">
        <v>247</v>
      </c>
      <c r="D96" s="325"/>
      <c r="E96" s="275"/>
      <c r="F96" s="275"/>
      <c r="G96" s="275"/>
      <c r="H96" s="275"/>
      <c r="I96" s="466"/>
      <c r="J96" s="466"/>
      <c r="K96" s="466"/>
      <c r="L96" s="466"/>
      <c r="M96" s="466"/>
      <c r="N96" s="466"/>
      <c r="O96" s="275"/>
    </row>
    <row r="97" spans="1:15" s="141" customFormat="1" ht="29.25" hidden="1" customHeight="1" x14ac:dyDescent="0.25">
      <c r="A97" s="149"/>
      <c r="B97" s="149"/>
      <c r="C97" s="331" t="s">
        <v>281</v>
      </c>
      <c r="D97" s="326">
        <v>171905</v>
      </c>
      <c r="E97" s="275"/>
      <c r="F97" s="275"/>
      <c r="G97" s="275"/>
      <c r="H97" s="275"/>
      <c r="I97" s="466"/>
      <c r="J97" s="466"/>
      <c r="K97" s="466"/>
      <c r="L97" s="466"/>
      <c r="M97" s="466"/>
      <c r="N97" s="466"/>
      <c r="O97" s="275">
        <f t="shared" ref="O97:O107" si="11">SUM(E97:N97)</f>
        <v>0</v>
      </c>
    </row>
    <row r="98" spans="1:15" s="141" customFormat="1" ht="14.1" hidden="1" customHeight="1" x14ac:dyDescent="0.25">
      <c r="A98" s="142"/>
      <c r="B98" s="142"/>
      <c r="C98" s="332" t="s">
        <v>282</v>
      </c>
      <c r="D98" s="326">
        <v>171909</v>
      </c>
      <c r="E98" s="275"/>
      <c r="F98" s="275"/>
      <c r="G98" s="275"/>
      <c r="H98" s="275"/>
      <c r="I98" s="466"/>
      <c r="J98" s="466"/>
      <c r="K98" s="466"/>
      <c r="L98" s="466"/>
      <c r="M98" s="466"/>
      <c r="N98" s="466"/>
      <c r="O98" s="275">
        <f t="shared" si="11"/>
        <v>0</v>
      </c>
    </row>
    <row r="99" spans="1:15" s="141" customFormat="1" ht="14.1" hidden="1" customHeight="1" x14ac:dyDescent="0.25">
      <c r="A99" s="142"/>
      <c r="B99" s="142"/>
      <c r="C99" s="332" t="s">
        <v>283</v>
      </c>
      <c r="D99" s="326">
        <v>171904</v>
      </c>
      <c r="E99" s="275"/>
      <c r="F99" s="275"/>
      <c r="G99" s="275"/>
      <c r="H99" s="275"/>
      <c r="I99" s="466"/>
      <c r="J99" s="466"/>
      <c r="K99" s="466"/>
      <c r="L99" s="466"/>
      <c r="M99" s="466"/>
      <c r="N99" s="466"/>
      <c r="O99" s="275">
        <f t="shared" si="11"/>
        <v>0</v>
      </c>
    </row>
    <row r="100" spans="1:15" s="141" customFormat="1" ht="14.1" hidden="1" customHeight="1" x14ac:dyDescent="0.25">
      <c r="A100" s="142"/>
      <c r="B100" s="142"/>
      <c r="C100" s="332" t="s">
        <v>284</v>
      </c>
      <c r="D100" s="326">
        <v>172909</v>
      </c>
      <c r="E100" s="275"/>
      <c r="F100" s="275"/>
      <c r="G100" s="275"/>
      <c r="H100" s="275"/>
      <c r="I100" s="466"/>
      <c r="J100" s="466"/>
      <c r="K100" s="466"/>
      <c r="L100" s="466"/>
      <c r="M100" s="466"/>
      <c r="N100" s="466"/>
      <c r="O100" s="275">
        <f t="shared" si="11"/>
        <v>0</v>
      </c>
    </row>
    <row r="101" spans="1:15" s="141" customFormat="1" ht="14.1" hidden="1" customHeight="1" x14ac:dyDescent="0.25">
      <c r="A101" s="142"/>
      <c r="B101" s="142"/>
      <c r="C101" s="332" t="s">
        <v>285</v>
      </c>
      <c r="D101" s="326">
        <v>131857</v>
      </c>
      <c r="E101" s="275"/>
      <c r="F101" s="275"/>
      <c r="G101" s="275"/>
      <c r="H101" s="275"/>
      <c r="I101" s="466"/>
      <c r="J101" s="466"/>
      <c r="K101" s="466"/>
      <c r="L101" s="466"/>
      <c r="M101" s="466"/>
      <c r="N101" s="466"/>
      <c r="O101" s="275">
        <f t="shared" si="11"/>
        <v>0</v>
      </c>
    </row>
    <row r="102" spans="1:15" s="141" customFormat="1" ht="14.1" hidden="1" customHeight="1" x14ac:dyDescent="0.25">
      <c r="A102" s="142"/>
      <c r="B102" s="142"/>
      <c r="C102" s="332" t="s">
        <v>286</v>
      </c>
      <c r="D102" s="326">
        <v>172920</v>
      </c>
      <c r="E102" s="275"/>
      <c r="F102" s="275"/>
      <c r="G102" s="275"/>
      <c r="H102" s="275"/>
      <c r="I102" s="466"/>
      <c r="J102" s="466"/>
      <c r="K102" s="466"/>
      <c r="L102" s="466"/>
      <c r="M102" s="466"/>
      <c r="N102" s="466"/>
      <c r="O102" s="275">
        <f t="shared" si="11"/>
        <v>0</v>
      </c>
    </row>
    <row r="103" spans="1:15" s="141" customFormat="1" ht="14.1" hidden="1" customHeight="1" x14ac:dyDescent="0.25">
      <c r="A103" s="142"/>
      <c r="B103" s="142"/>
      <c r="C103" s="332" t="s">
        <v>287</v>
      </c>
      <c r="D103" s="326">
        <v>172922</v>
      </c>
      <c r="E103" s="275"/>
      <c r="F103" s="275"/>
      <c r="G103" s="275"/>
      <c r="H103" s="275"/>
      <c r="I103" s="466"/>
      <c r="J103" s="466"/>
      <c r="K103" s="466"/>
      <c r="L103" s="466"/>
      <c r="M103" s="466"/>
      <c r="N103" s="466"/>
      <c r="O103" s="275">
        <f t="shared" si="11"/>
        <v>0</v>
      </c>
    </row>
    <row r="104" spans="1:15" s="141" customFormat="1" ht="14.1" hidden="1" customHeight="1" x14ac:dyDescent="0.25">
      <c r="A104" s="142"/>
      <c r="B104" s="142"/>
      <c r="C104" s="332" t="s">
        <v>1114</v>
      </c>
      <c r="D104" s="619">
        <v>171977</v>
      </c>
      <c r="E104" s="275"/>
      <c r="F104" s="275"/>
      <c r="G104" s="275"/>
      <c r="H104" s="275"/>
      <c r="I104" s="466"/>
      <c r="J104" s="466"/>
      <c r="K104" s="466"/>
      <c r="L104" s="466"/>
      <c r="M104" s="466"/>
      <c r="N104" s="466"/>
      <c r="O104" s="275">
        <f t="shared" si="11"/>
        <v>0</v>
      </c>
    </row>
    <row r="105" spans="1:15" s="141" customFormat="1" ht="14.1" hidden="1" customHeight="1" x14ac:dyDescent="0.25">
      <c r="A105" s="142"/>
      <c r="B105" s="142"/>
      <c r="C105" s="332" t="s">
        <v>1014</v>
      </c>
      <c r="D105" s="619">
        <v>171978</v>
      </c>
      <c r="E105" s="275"/>
      <c r="F105" s="275"/>
      <c r="G105" s="275"/>
      <c r="H105" s="275"/>
      <c r="I105" s="466"/>
      <c r="J105" s="466"/>
      <c r="K105" s="466"/>
      <c r="L105" s="466"/>
      <c r="M105" s="466"/>
      <c r="N105" s="466"/>
      <c r="O105" s="275">
        <f t="shared" si="11"/>
        <v>0</v>
      </c>
    </row>
    <row r="106" spans="1:15" s="141" customFormat="1" ht="15.6" hidden="1" customHeight="1" x14ac:dyDescent="0.25">
      <c r="A106" s="142"/>
      <c r="B106" s="142"/>
      <c r="C106" s="333" t="s">
        <v>1255</v>
      </c>
      <c r="D106" s="619">
        <v>171979</v>
      </c>
      <c r="E106" s="275"/>
      <c r="F106" s="275"/>
      <c r="G106" s="275"/>
      <c r="H106" s="275"/>
      <c r="I106" s="466"/>
      <c r="J106" s="466"/>
      <c r="K106" s="466"/>
      <c r="L106" s="466"/>
      <c r="M106" s="466"/>
      <c r="N106" s="466"/>
      <c r="O106" s="275">
        <f t="shared" si="11"/>
        <v>0</v>
      </c>
    </row>
    <row r="107" spans="1:15" s="141" customFormat="1" ht="14.1" hidden="1" customHeight="1" x14ac:dyDescent="0.25">
      <c r="A107" s="142"/>
      <c r="B107" s="142"/>
      <c r="C107" s="332" t="s">
        <v>1015</v>
      </c>
      <c r="D107" s="619">
        <v>171982</v>
      </c>
      <c r="E107" s="275"/>
      <c r="F107" s="275"/>
      <c r="G107" s="275"/>
      <c r="H107" s="275"/>
      <c r="I107" s="466"/>
      <c r="J107" s="466"/>
      <c r="K107" s="466"/>
      <c r="L107" s="466"/>
      <c r="M107" s="466"/>
      <c r="N107" s="466"/>
      <c r="O107" s="275">
        <f t="shared" si="11"/>
        <v>0</v>
      </c>
    </row>
    <row r="108" spans="1:15" s="141" customFormat="1" ht="24.9" hidden="1" customHeight="1" x14ac:dyDescent="0.25">
      <c r="A108" s="142"/>
      <c r="B108" s="142"/>
      <c r="C108" s="333" t="s">
        <v>288</v>
      </c>
      <c r="D108" s="328"/>
      <c r="E108" s="275"/>
      <c r="F108" s="275"/>
      <c r="G108" s="275"/>
      <c r="H108" s="466"/>
      <c r="I108" s="466"/>
      <c r="J108" s="466"/>
      <c r="K108" s="466"/>
      <c r="L108" s="466"/>
      <c r="M108" s="466"/>
      <c r="N108" s="466"/>
      <c r="O108" s="275"/>
    </row>
    <row r="109" spans="1:15" s="141" customFormat="1" ht="15" hidden="1" customHeight="1" x14ac:dyDescent="0.25">
      <c r="A109" s="142"/>
      <c r="B109" s="142"/>
      <c r="C109" s="158" t="s">
        <v>289</v>
      </c>
      <c r="D109" s="326">
        <v>171901</v>
      </c>
      <c r="E109" s="275"/>
      <c r="F109" s="275"/>
      <c r="G109" s="275"/>
      <c r="H109" s="275"/>
      <c r="I109" s="466"/>
      <c r="J109" s="466"/>
      <c r="K109" s="466"/>
      <c r="L109" s="466"/>
      <c r="M109" s="466"/>
      <c r="N109" s="466"/>
      <c r="O109" s="275">
        <f>SUM(E109:N109)</f>
        <v>0</v>
      </c>
    </row>
    <row r="110" spans="1:15" s="141" customFormat="1" ht="24.9" hidden="1" customHeight="1" x14ac:dyDescent="0.25">
      <c r="A110" s="149"/>
      <c r="B110" s="149"/>
      <c r="C110" s="334" t="s">
        <v>290</v>
      </c>
      <c r="D110" s="335"/>
      <c r="E110" s="275"/>
      <c r="F110" s="275"/>
      <c r="G110" s="275"/>
      <c r="H110" s="275"/>
      <c r="I110" s="466"/>
      <c r="J110" s="466"/>
      <c r="K110" s="466"/>
      <c r="L110" s="466"/>
      <c r="M110" s="466"/>
      <c r="N110" s="466"/>
      <c r="O110" s="275"/>
    </row>
    <row r="111" spans="1:15" s="141" customFormat="1" ht="22.2" hidden="1" customHeight="1" x14ac:dyDescent="0.25">
      <c r="A111" s="149"/>
      <c r="B111" s="149"/>
      <c r="C111" s="333" t="s">
        <v>1210</v>
      </c>
      <c r="D111" s="336">
        <v>171908</v>
      </c>
      <c r="E111" s="275"/>
      <c r="F111" s="275"/>
      <c r="G111" s="275"/>
      <c r="H111" s="275"/>
      <c r="I111" s="466"/>
      <c r="J111" s="466"/>
      <c r="K111" s="466"/>
      <c r="L111" s="466"/>
      <c r="M111" s="466"/>
      <c r="N111" s="466"/>
      <c r="O111" s="275">
        <f>SUM(E111:N111)</f>
        <v>0</v>
      </c>
    </row>
    <row r="112" spans="1:15" s="141" customFormat="1" ht="15.75" hidden="1" customHeight="1" x14ac:dyDescent="0.25">
      <c r="A112" s="149"/>
      <c r="B112" s="149"/>
      <c r="C112" s="537" t="s">
        <v>291</v>
      </c>
      <c r="D112" s="330"/>
      <c r="E112" s="275"/>
      <c r="F112" s="275"/>
      <c r="G112" s="275"/>
      <c r="H112" s="466"/>
      <c r="I112" s="466"/>
      <c r="J112" s="466"/>
      <c r="K112" s="466"/>
      <c r="L112" s="466"/>
      <c r="M112" s="466"/>
      <c r="N112" s="466"/>
      <c r="O112" s="275"/>
    </row>
    <row r="113" spans="1:15" s="141" customFormat="1" ht="15.75" hidden="1" customHeight="1" x14ac:dyDescent="0.25">
      <c r="A113" s="149"/>
      <c r="B113" s="149"/>
      <c r="C113" s="154" t="s">
        <v>292</v>
      </c>
      <c r="D113" s="325"/>
      <c r="E113" s="275"/>
      <c r="F113" s="275"/>
      <c r="G113" s="275"/>
      <c r="H113" s="466"/>
      <c r="I113" s="466"/>
      <c r="J113" s="466"/>
      <c r="K113" s="466"/>
      <c r="L113" s="466"/>
      <c r="M113" s="466"/>
      <c r="N113" s="466"/>
      <c r="O113" s="275"/>
    </row>
    <row r="114" spans="1:15" s="141" customFormat="1" ht="24.9" hidden="1" customHeight="1" x14ac:dyDescent="0.25">
      <c r="A114" s="149"/>
      <c r="B114" s="149"/>
      <c r="C114" s="620" t="s">
        <v>992</v>
      </c>
      <c r="D114" s="657">
        <v>121401</v>
      </c>
      <c r="E114" s="527"/>
      <c r="F114" s="527"/>
      <c r="G114" s="527"/>
      <c r="H114" s="658"/>
      <c r="I114" s="658"/>
      <c r="J114" s="658"/>
      <c r="K114" s="527"/>
      <c r="L114" s="658"/>
      <c r="M114" s="658"/>
      <c r="N114" s="466"/>
      <c r="O114" s="275">
        <f>SUM(E114:N114)</f>
        <v>0</v>
      </c>
    </row>
    <row r="115" spans="1:15" s="141" customFormat="1" ht="16.95" hidden="1" customHeight="1" x14ac:dyDescent="0.25">
      <c r="A115" s="149"/>
      <c r="B115" s="149"/>
      <c r="C115" s="620" t="s">
        <v>870</v>
      </c>
      <c r="D115" s="659"/>
      <c r="E115" s="527"/>
      <c r="F115" s="527"/>
      <c r="G115" s="527"/>
      <c r="H115" s="658"/>
      <c r="I115" s="658"/>
      <c r="J115" s="658"/>
      <c r="K115" s="658"/>
      <c r="L115" s="658"/>
      <c r="M115" s="658"/>
      <c r="N115" s="466"/>
      <c r="O115" s="275"/>
    </row>
    <row r="116" spans="1:15" s="141" customFormat="1" ht="16.5" hidden="1" customHeight="1" x14ac:dyDescent="0.25">
      <c r="A116" s="149"/>
      <c r="B116" s="149"/>
      <c r="C116" s="660" t="s">
        <v>293</v>
      </c>
      <c r="D116" s="657">
        <v>176902</v>
      </c>
      <c r="E116" s="527"/>
      <c r="F116" s="527"/>
      <c r="G116" s="527"/>
      <c r="H116" s="658"/>
      <c r="I116" s="658"/>
      <c r="J116" s="658"/>
      <c r="K116" s="658"/>
      <c r="L116" s="658"/>
      <c r="M116" s="527"/>
      <c r="N116" s="275"/>
      <c r="O116" s="275">
        <f>SUM(E116:N116)</f>
        <v>0</v>
      </c>
    </row>
    <row r="117" spans="1:15" s="141" customFormat="1" ht="12.6" customHeight="1" x14ac:dyDescent="0.25">
      <c r="A117" s="155"/>
      <c r="B117" s="155"/>
      <c r="C117" s="322" t="s">
        <v>294</v>
      </c>
      <c r="D117" s="155"/>
      <c r="E117" s="323">
        <f t="shared" ref="E117:O117" si="12">SUM(E89:E116)</f>
        <v>0</v>
      </c>
      <c r="F117" s="323">
        <f t="shared" si="12"/>
        <v>0</v>
      </c>
      <c r="G117" s="323">
        <f t="shared" si="12"/>
        <v>0</v>
      </c>
      <c r="H117" s="323">
        <f t="shared" si="12"/>
        <v>0</v>
      </c>
      <c r="I117" s="323">
        <f t="shared" si="12"/>
        <v>0</v>
      </c>
      <c r="J117" s="323">
        <f t="shared" si="12"/>
        <v>0</v>
      </c>
      <c r="K117" s="323">
        <f t="shared" si="12"/>
        <v>0</v>
      </c>
      <c r="L117" s="323">
        <f t="shared" si="12"/>
        <v>0</v>
      </c>
      <c r="M117" s="323">
        <f t="shared" si="12"/>
        <v>0</v>
      </c>
      <c r="N117" s="323">
        <f t="shared" si="12"/>
        <v>0</v>
      </c>
      <c r="O117" s="323">
        <f t="shared" si="12"/>
        <v>0</v>
      </c>
    </row>
    <row r="118" spans="1:15" s="141" customFormat="1" ht="12.6" customHeight="1" x14ac:dyDescent="0.25">
      <c r="A118" s="156">
        <v>1</v>
      </c>
      <c r="B118" s="156">
        <v>18</v>
      </c>
      <c r="C118" s="327" t="s">
        <v>295</v>
      </c>
      <c r="D118" s="328"/>
      <c r="E118" s="337"/>
      <c r="F118" s="337"/>
      <c r="G118" s="337"/>
      <c r="H118" s="337"/>
      <c r="I118" s="337"/>
      <c r="J118" s="337"/>
      <c r="K118" s="337"/>
      <c r="L118" s="337"/>
      <c r="M118" s="337"/>
      <c r="N118" s="337"/>
      <c r="O118" s="337"/>
    </row>
    <row r="119" spans="1:15" s="141" customFormat="1" ht="24.9" customHeight="1" x14ac:dyDescent="0.25">
      <c r="A119" s="149"/>
      <c r="B119" s="149"/>
      <c r="C119" s="154" t="s">
        <v>247</v>
      </c>
      <c r="D119" s="325"/>
      <c r="E119" s="319"/>
      <c r="F119" s="319"/>
      <c r="G119" s="319"/>
      <c r="H119" s="275"/>
      <c r="I119" s="275"/>
      <c r="J119" s="275"/>
      <c r="K119" s="275"/>
      <c r="L119" s="275"/>
      <c r="M119" s="275"/>
      <c r="N119" s="275"/>
      <c r="O119" s="275"/>
    </row>
    <row r="120" spans="1:15" s="141" customFormat="1" ht="24.9" hidden="1" customHeight="1" x14ac:dyDescent="0.25">
      <c r="A120" s="149"/>
      <c r="B120" s="149"/>
      <c r="C120" s="154" t="s">
        <v>296</v>
      </c>
      <c r="D120" s="325" t="s">
        <v>297</v>
      </c>
      <c r="E120" s="319"/>
      <c r="F120" s="319"/>
      <c r="G120" s="319"/>
      <c r="H120" s="319"/>
      <c r="I120" s="473"/>
      <c r="J120" s="319"/>
      <c r="K120" s="319"/>
      <c r="L120" s="319"/>
      <c r="M120" s="319"/>
      <c r="N120" s="319"/>
      <c r="O120" s="275">
        <f t="shared" ref="O120:O125" si="13">SUM(E120:N120)</f>
        <v>0</v>
      </c>
    </row>
    <row r="121" spans="1:15" s="141" customFormat="1" ht="12.6" hidden="1" customHeight="1" x14ac:dyDescent="0.25">
      <c r="A121" s="149"/>
      <c r="B121" s="149"/>
      <c r="C121" s="327" t="s">
        <v>298</v>
      </c>
      <c r="D121" s="336">
        <v>181905</v>
      </c>
      <c r="E121" s="319"/>
      <c r="F121" s="319"/>
      <c r="G121" s="319"/>
      <c r="H121" s="319"/>
      <c r="I121" s="473"/>
      <c r="J121" s="319"/>
      <c r="K121" s="319"/>
      <c r="L121" s="319"/>
      <c r="M121" s="319"/>
      <c r="N121" s="319"/>
      <c r="O121" s="275">
        <f t="shared" si="13"/>
        <v>0</v>
      </c>
    </row>
    <row r="122" spans="1:15" s="141" customFormat="1" ht="15" hidden="1" customHeight="1" x14ac:dyDescent="0.25">
      <c r="A122" s="149"/>
      <c r="B122" s="149"/>
      <c r="C122" s="154" t="s">
        <v>299</v>
      </c>
      <c r="D122" s="325">
        <v>181903</v>
      </c>
      <c r="E122" s="319"/>
      <c r="F122" s="319"/>
      <c r="G122" s="319"/>
      <c r="H122" s="319"/>
      <c r="I122" s="473"/>
      <c r="J122" s="319"/>
      <c r="K122" s="319"/>
      <c r="L122" s="319"/>
      <c r="M122" s="319"/>
      <c r="N122" s="319"/>
      <c r="O122" s="275">
        <f t="shared" si="13"/>
        <v>0</v>
      </c>
    </row>
    <row r="123" spans="1:15" s="141" customFormat="1" ht="18.600000000000001" hidden="1" customHeight="1" x14ac:dyDescent="0.25">
      <c r="A123" s="149"/>
      <c r="B123" s="149"/>
      <c r="C123" s="154" t="s">
        <v>300</v>
      </c>
      <c r="D123" s="325">
        <v>181904</v>
      </c>
      <c r="E123" s="319"/>
      <c r="F123" s="319"/>
      <c r="G123" s="319"/>
      <c r="H123" s="319"/>
      <c r="I123" s="473"/>
      <c r="J123" s="319"/>
      <c r="K123" s="319"/>
      <c r="L123" s="319"/>
      <c r="M123" s="319"/>
      <c r="N123" s="319"/>
      <c r="O123" s="275">
        <f t="shared" si="13"/>
        <v>0</v>
      </c>
    </row>
    <row r="124" spans="1:15" s="141" customFormat="1" ht="15" customHeight="1" x14ac:dyDescent="0.25">
      <c r="A124" s="149" t="s">
        <v>88</v>
      </c>
      <c r="B124" s="149"/>
      <c r="C124" s="327" t="s">
        <v>301</v>
      </c>
      <c r="D124" s="336">
        <v>181902</v>
      </c>
      <c r="E124" s="319"/>
      <c r="F124" s="319"/>
      <c r="G124" s="319">
        <v>26000</v>
      </c>
      <c r="H124" s="319">
        <v>-26000</v>
      </c>
      <c r="I124" s="473"/>
      <c r="J124" s="319"/>
      <c r="K124" s="319"/>
      <c r="L124" s="319"/>
      <c r="M124" s="319"/>
      <c r="N124" s="319"/>
      <c r="O124" s="275">
        <f t="shared" si="13"/>
        <v>0</v>
      </c>
    </row>
    <row r="125" spans="1:15" s="141" customFormat="1" ht="27.75" hidden="1" customHeight="1" x14ac:dyDescent="0.25">
      <c r="A125" s="521"/>
      <c r="B125" s="521"/>
      <c r="C125" s="528" t="s">
        <v>1110</v>
      </c>
      <c r="D125" s="529">
        <v>182912</v>
      </c>
      <c r="E125" s="535"/>
      <c r="F125" s="535"/>
      <c r="G125" s="530"/>
      <c r="H125" s="530"/>
      <c r="I125" s="531"/>
      <c r="J125" s="530"/>
      <c r="K125" s="530"/>
      <c r="L125" s="530"/>
      <c r="M125" s="530"/>
      <c r="N125" s="530"/>
      <c r="O125" s="275">
        <f t="shared" si="13"/>
        <v>0</v>
      </c>
    </row>
    <row r="126" spans="1:15" s="141" customFormat="1" ht="14.25" customHeight="1" x14ac:dyDescent="0.25">
      <c r="A126" s="155"/>
      <c r="B126" s="155"/>
      <c r="C126" s="322" t="s">
        <v>302</v>
      </c>
      <c r="D126" s="155"/>
      <c r="E126" s="338">
        <f>SUM(E120:E125)</f>
        <v>0</v>
      </c>
      <c r="F126" s="338">
        <f t="shared" ref="F126:O126" si="14">SUM(F120:F125)</f>
        <v>0</v>
      </c>
      <c r="G126" s="338">
        <f t="shared" si="14"/>
        <v>26000</v>
      </c>
      <c r="H126" s="338">
        <f t="shared" si="14"/>
        <v>-26000</v>
      </c>
      <c r="I126" s="338">
        <f t="shared" si="14"/>
        <v>0</v>
      </c>
      <c r="J126" s="338">
        <f t="shared" si="14"/>
        <v>0</v>
      </c>
      <c r="K126" s="338">
        <f t="shared" si="14"/>
        <v>0</v>
      </c>
      <c r="L126" s="338">
        <f t="shared" si="14"/>
        <v>0</v>
      </c>
      <c r="M126" s="338">
        <f t="shared" si="14"/>
        <v>0</v>
      </c>
      <c r="N126" s="338">
        <f t="shared" si="14"/>
        <v>0</v>
      </c>
      <c r="O126" s="338">
        <f t="shared" si="14"/>
        <v>0</v>
      </c>
    </row>
    <row r="127" spans="1:15" s="141" customFormat="1" ht="12.6" customHeight="1" x14ac:dyDescent="0.25">
      <c r="A127" s="149">
        <v>1</v>
      </c>
      <c r="B127" s="149">
        <v>19</v>
      </c>
      <c r="C127" s="324" t="s">
        <v>87</v>
      </c>
      <c r="D127" s="156"/>
      <c r="E127" s="275"/>
      <c r="F127" s="275"/>
      <c r="G127" s="275"/>
      <c r="H127" s="275"/>
      <c r="I127" s="275"/>
      <c r="J127" s="275"/>
      <c r="K127" s="275"/>
      <c r="L127" s="275"/>
      <c r="M127" s="275"/>
      <c r="N127" s="275"/>
      <c r="O127" s="275"/>
    </row>
    <row r="128" spans="1:15" s="141" customFormat="1" ht="26.25" hidden="1" customHeight="1" x14ac:dyDescent="0.25">
      <c r="A128" s="149"/>
      <c r="B128" s="149"/>
      <c r="C128" s="536" t="s">
        <v>303</v>
      </c>
      <c r="D128" s="335"/>
      <c r="E128" s="275"/>
      <c r="F128" s="275"/>
      <c r="G128" s="275"/>
      <c r="H128" s="275"/>
      <c r="I128" s="275"/>
      <c r="J128" s="275"/>
      <c r="K128" s="275"/>
      <c r="L128" s="275"/>
      <c r="M128" s="275"/>
      <c r="N128" s="275"/>
      <c r="O128" s="275"/>
    </row>
    <row r="129" spans="1:16" s="141" customFormat="1" ht="24.9" hidden="1" customHeight="1" x14ac:dyDescent="0.25">
      <c r="A129" s="149"/>
      <c r="B129" s="149"/>
      <c r="C129" s="158" t="s">
        <v>306</v>
      </c>
      <c r="D129" s="326">
        <v>196919</v>
      </c>
      <c r="E129" s="319"/>
      <c r="F129" s="319"/>
      <c r="G129" s="319"/>
      <c r="H129" s="319"/>
      <c r="I129" s="319"/>
      <c r="J129" s="319"/>
      <c r="K129" s="319"/>
      <c r="L129" s="319"/>
      <c r="M129" s="319"/>
      <c r="N129" s="319"/>
      <c r="O129" s="275">
        <f>SUM(H129:N129)</f>
        <v>0</v>
      </c>
    </row>
    <row r="130" spans="1:16" s="141" customFormat="1" ht="24.9" customHeight="1" x14ac:dyDescent="0.25">
      <c r="A130" s="149"/>
      <c r="B130" s="149"/>
      <c r="C130" s="327" t="s">
        <v>216</v>
      </c>
      <c r="D130" s="328"/>
      <c r="E130" s="319"/>
      <c r="F130" s="319"/>
      <c r="G130" s="319"/>
      <c r="H130" s="319"/>
      <c r="I130" s="319"/>
      <c r="J130" s="319"/>
      <c r="K130" s="319"/>
      <c r="L130" s="319"/>
      <c r="M130" s="319"/>
      <c r="N130" s="319"/>
      <c r="O130" s="275"/>
    </row>
    <row r="131" spans="1:16" s="141" customFormat="1" ht="13.2" hidden="1" x14ac:dyDescent="0.25">
      <c r="A131" s="149" t="s">
        <v>88</v>
      </c>
      <c r="B131" s="149"/>
      <c r="C131" s="327" t="s">
        <v>304</v>
      </c>
      <c r="D131" s="326">
        <v>191102</v>
      </c>
      <c r="E131" s="319"/>
      <c r="F131" s="319"/>
      <c r="G131" s="319"/>
      <c r="H131" s="319"/>
      <c r="I131" s="319"/>
      <c r="J131" s="319"/>
      <c r="K131" s="319"/>
      <c r="L131" s="319"/>
      <c r="M131" s="319"/>
      <c r="N131" s="319"/>
      <c r="O131" s="275">
        <f t="shared" ref="O131:O134" si="15">SUM(E131:N131)</f>
        <v>0</v>
      </c>
    </row>
    <row r="132" spans="1:16" s="141" customFormat="1" ht="17.25" hidden="1" customHeight="1" x14ac:dyDescent="0.25">
      <c r="A132" s="149"/>
      <c r="B132" s="149"/>
      <c r="C132" s="158" t="s">
        <v>305</v>
      </c>
      <c r="D132" s="326">
        <v>191103</v>
      </c>
      <c r="E132" s="319"/>
      <c r="F132" s="319"/>
      <c r="G132" s="319"/>
      <c r="H132" s="319"/>
      <c r="I132" s="319"/>
      <c r="J132" s="319"/>
      <c r="K132" s="319"/>
      <c r="L132" s="319"/>
      <c r="M132" s="319"/>
      <c r="N132" s="319"/>
      <c r="O132" s="275">
        <f t="shared" si="15"/>
        <v>0</v>
      </c>
    </row>
    <row r="133" spans="1:16" s="141" customFormat="1" ht="26.4" x14ac:dyDescent="0.25">
      <c r="A133" s="149"/>
      <c r="B133" s="149"/>
      <c r="C133" s="327" t="s">
        <v>1016</v>
      </c>
      <c r="D133" s="336">
        <v>191196</v>
      </c>
      <c r="E133" s="319"/>
      <c r="F133" s="319"/>
      <c r="G133" s="319"/>
      <c r="H133" s="319"/>
      <c r="I133" s="319"/>
      <c r="J133" s="319"/>
      <c r="K133" s="319"/>
      <c r="L133" s="319"/>
      <c r="M133" s="319">
        <v>637</v>
      </c>
      <c r="N133" s="319"/>
      <c r="O133" s="527">
        <f t="shared" si="15"/>
        <v>637</v>
      </c>
    </row>
    <row r="134" spans="1:16" s="141" customFormat="1" ht="27.6" hidden="1" customHeight="1" x14ac:dyDescent="0.25">
      <c r="A134" s="149"/>
      <c r="B134" s="149"/>
      <c r="C134" s="525" t="s">
        <v>1108</v>
      </c>
      <c r="D134" s="526">
        <v>192909</v>
      </c>
      <c r="E134" s="319"/>
      <c r="F134" s="319"/>
      <c r="G134" s="319"/>
      <c r="H134" s="319"/>
      <c r="I134" s="319"/>
      <c r="J134" s="319"/>
      <c r="K134" s="319"/>
      <c r="L134" s="319"/>
      <c r="M134" s="319"/>
      <c r="N134" s="319"/>
      <c r="O134" s="527">
        <f t="shared" si="15"/>
        <v>0</v>
      </c>
      <c r="P134" s="474"/>
    </row>
    <row r="135" spans="1:16" s="141" customFormat="1" ht="24.9" customHeight="1" x14ac:dyDescent="0.25">
      <c r="A135" s="149"/>
      <c r="B135" s="149"/>
      <c r="C135" s="327" t="s">
        <v>307</v>
      </c>
      <c r="D135" s="328"/>
      <c r="E135" s="319"/>
      <c r="F135" s="319"/>
      <c r="G135" s="319"/>
      <c r="H135" s="319"/>
      <c r="I135" s="319"/>
      <c r="J135" s="319"/>
      <c r="K135" s="319"/>
      <c r="L135" s="319"/>
      <c r="M135" s="319"/>
      <c r="N135" s="319"/>
      <c r="O135" s="275"/>
    </row>
    <row r="136" spans="1:16" s="141" customFormat="1" ht="26.4" x14ac:dyDescent="0.25">
      <c r="A136" s="149"/>
      <c r="B136" s="149"/>
      <c r="C136" s="154" t="s">
        <v>881</v>
      </c>
      <c r="D136" s="325">
        <v>191901</v>
      </c>
      <c r="E136" s="319">
        <v>569752</v>
      </c>
      <c r="F136" s="473"/>
      <c r="G136" s="473"/>
      <c r="H136" s="473"/>
      <c r="I136" s="319"/>
      <c r="J136" s="319"/>
      <c r="K136" s="319"/>
      <c r="L136" s="319"/>
      <c r="M136" s="319"/>
      <c r="N136" s="319"/>
      <c r="O136" s="275">
        <f t="shared" ref="O136:O139" si="16">SUM(E136:N136)</f>
        <v>569752</v>
      </c>
    </row>
    <row r="137" spans="1:16" s="141" customFormat="1" ht="26.4" x14ac:dyDescent="0.25">
      <c r="A137" s="149"/>
      <c r="B137" s="149"/>
      <c r="C137" s="154" t="s">
        <v>1017</v>
      </c>
      <c r="D137" s="325">
        <v>191901</v>
      </c>
      <c r="E137" s="319">
        <v>-365380</v>
      </c>
      <c r="F137" s="473"/>
      <c r="G137" s="473"/>
      <c r="H137" s="473"/>
      <c r="I137" s="319"/>
      <c r="J137" s="319"/>
      <c r="K137" s="319"/>
      <c r="L137" s="319"/>
      <c r="M137" s="319"/>
      <c r="N137" s="319"/>
      <c r="O137" s="275">
        <f t="shared" si="16"/>
        <v>-365380</v>
      </c>
    </row>
    <row r="138" spans="1:16" s="141" customFormat="1" ht="18" hidden="1" customHeight="1" x14ac:dyDescent="0.25">
      <c r="A138" s="149"/>
      <c r="B138" s="149"/>
      <c r="C138" s="154" t="s">
        <v>1018</v>
      </c>
      <c r="D138" s="325">
        <v>191901</v>
      </c>
      <c r="E138" s="319"/>
      <c r="F138" s="473"/>
      <c r="G138" s="473"/>
      <c r="H138" s="473"/>
      <c r="I138" s="319"/>
      <c r="J138" s="319"/>
      <c r="K138" s="319"/>
      <c r="L138" s="319"/>
      <c r="M138" s="319"/>
      <c r="N138" s="319"/>
      <c r="O138" s="275">
        <f t="shared" si="16"/>
        <v>0</v>
      </c>
    </row>
    <row r="139" spans="1:16" s="141" customFormat="1" ht="18" hidden="1" customHeight="1" x14ac:dyDescent="0.25">
      <c r="A139" s="149"/>
      <c r="B139" s="149"/>
      <c r="C139" s="154" t="s">
        <v>1226</v>
      </c>
      <c r="D139" s="325">
        <v>191901</v>
      </c>
      <c r="E139" s="319"/>
      <c r="F139" s="473"/>
      <c r="G139" s="473"/>
      <c r="H139" s="473"/>
      <c r="I139" s="319"/>
      <c r="J139" s="319"/>
      <c r="K139" s="319"/>
      <c r="L139" s="319"/>
      <c r="M139" s="319"/>
      <c r="N139" s="319"/>
      <c r="O139" s="275">
        <f t="shared" si="16"/>
        <v>0</v>
      </c>
    </row>
    <row r="140" spans="1:16" s="141" customFormat="1" ht="28.5" hidden="1" customHeight="1" x14ac:dyDescent="0.25">
      <c r="A140" s="149"/>
      <c r="B140" s="149"/>
      <c r="C140" s="327" t="s">
        <v>308</v>
      </c>
      <c r="D140" s="328"/>
      <c r="E140" s="319"/>
      <c r="F140" s="473"/>
      <c r="G140" s="473"/>
      <c r="H140" s="473"/>
      <c r="I140" s="319"/>
      <c r="J140" s="319"/>
      <c r="K140" s="319"/>
      <c r="L140" s="319"/>
      <c r="M140" s="319"/>
      <c r="N140" s="319"/>
      <c r="O140" s="275"/>
    </row>
    <row r="141" spans="1:16" s="141" customFormat="1" ht="14.1" hidden="1" customHeight="1" x14ac:dyDescent="0.25">
      <c r="A141" s="149"/>
      <c r="B141" s="149"/>
      <c r="C141" s="158" t="s">
        <v>309</v>
      </c>
      <c r="D141" s="326">
        <v>191907</v>
      </c>
      <c r="E141" s="319"/>
      <c r="F141" s="319"/>
      <c r="G141" s="319"/>
      <c r="H141" s="473"/>
      <c r="I141" s="319"/>
      <c r="J141" s="319"/>
      <c r="K141" s="319"/>
      <c r="L141" s="319"/>
      <c r="M141" s="319"/>
      <c r="N141" s="319"/>
      <c r="O141" s="275">
        <f t="shared" ref="O141:O145" si="17">SUM(E141:N141)</f>
        <v>0</v>
      </c>
    </row>
    <row r="142" spans="1:16" s="141" customFormat="1" ht="14.1" hidden="1" customHeight="1" x14ac:dyDescent="0.25">
      <c r="A142" s="149"/>
      <c r="B142" s="149"/>
      <c r="C142" s="158" t="s">
        <v>310</v>
      </c>
      <c r="D142" s="326">
        <v>191907</v>
      </c>
      <c r="E142" s="319"/>
      <c r="F142" s="319"/>
      <c r="G142" s="319"/>
      <c r="H142" s="473"/>
      <c r="I142" s="319"/>
      <c r="J142" s="319"/>
      <c r="K142" s="319"/>
      <c r="L142" s="319"/>
      <c r="M142" s="319"/>
      <c r="N142" s="319"/>
      <c r="O142" s="275">
        <f t="shared" si="17"/>
        <v>0</v>
      </c>
    </row>
    <row r="143" spans="1:16" s="141" customFormat="1" ht="14.1" hidden="1" customHeight="1" x14ac:dyDescent="0.25">
      <c r="A143" s="149"/>
      <c r="B143" s="149"/>
      <c r="C143" s="158" t="s">
        <v>311</v>
      </c>
      <c r="D143" s="326">
        <v>191907</v>
      </c>
      <c r="E143" s="319"/>
      <c r="F143" s="319"/>
      <c r="G143" s="319"/>
      <c r="H143" s="473"/>
      <c r="I143" s="319"/>
      <c r="J143" s="319"/>
      <c r="K143" s="319"/>
      <c r="L143" s="319"/>
      <c r="M143" s="319"/>
      <c r="N143" s="319"/>
      <c r="O143" s="275">
        <f t="shared" si="17"/>
        <v>0</v>
      </c>
    </row>
    <row r="144" spans="1:16" s="141" customFormat="1" ht="14.1" hidden="1" customHeight="1" x14ac:dyDescent="0.25">
      <c r="A144" s="149"/>
      <c r="B144" s="149"/>
      <c r="C144" s="158" t="s">
        <v>312</v>
      </c>
      <c r="D144" s="326">
        <v>191907</v>
      </c>
      <c r="E144" s="319"/>
      <c r="F144" s="319"/>
      <c r="G144" s="319"/>
      <c r="H144" s="473"/>
      <c r="I144" s="319"/>
      <c r="J144" s="319"/>
      <c r="K144" s="319"/>
      <c r="L144" s="319"/>
      <c r="M144" s="319"/>
      <c r="N144" s="319"/>
      <c r="O144" s="275">
        <f t="shared" si="17"/>
        <v>0</v>
      </c>
    </row>
    <row r="145" spans="1:15" s="141" customFormat="1" ht="14.1" hidden="1" customHeight="1" x14ac:dyDescent="0.25">
      <c r="A145" s="149"/>
      <c r="B145" s="149"/>
      <c r="C145" s="158" t="s">
        <v>1019</v>
      </c>
      <c r="D145" s="326">
        <v>191907</v>
      </c>
      <c r="E145" s="319"/>
      <c r="F145" s="319"/>
      <c r="G145" s="319"/>
      <c r="H145" s="473"/>
      <c r="I145" s="319"/>
      <c r="J145" s="319"/>
      <c r="K145" s="319"/>
      <c r="L145" s="319"/>
      <c r="M145" s="319"/>
      <c r="N145" s="319"/>
      <c r="O145" s="275">
        <f t="shared" si="17"/>
        <v>0</v>
      </c>
    </row>
    <row r="146" spans="1:15" s="141" customFormat="1" ht="24.75" hidden="1" customHeight="1" x14ac:dyDescent="0.25">
      <c r="A146" s="149"/>
      <c r="B146" s="149"/>
      <c r="C146" s="154" t="s">
        <v>313</v>
      </c>
      <c r="D146" s="325"/>
      <c r="E146" s="319"/>
      <c r="F146" s="319"/>
      <c r="G146" s="319"/>
      <c r="H146" s="473"/>
      <c r="I146" s="319"/>
      <c r="J146" s="319"/>
      <c r="K146" s="319"/>
      <c r="L146" s="319"/>
      <c r="M146" s="319"/>
      <c r="N146" s="319"/>
      <c r="O146" s="275"/>
    </row>
    <row r="147" spans="1:15" s="141" customFormat="1" ht="36.75" hidden="1" customHeight="1" x14ac:dyDescent="0.25">
      <c r="A147" s="149"/>
      <c r="B147" s="149"/>
      <c r="C147" s="152" t="s">
        <v>314</v>
      </c>
      <c r="D147" s="325">
        <v>191158</v>
      </c>
      <c r="E147" s="319"/>
      <c r="F147" s="319"/>
      <c r="G147" s="319"/>
      <c r="H147" s="473"/>
      <c r="I147" s="319"/>
      <c r="J147" s="319"/>
      <c r="K147" s="319"/>
      <c r="L147" s="319"/>
      <c r="M147" s="319"/>
      <c r="N147" s="319"/>
      <c r="O147" s="275">
        <f>SUM(E147:N147)</f>
        <v>0</v>
      </c>
    </row>
    <row r="148" spans="1:15" s="141" customFormat="1" ht="15" hidden="1" customHeight="1" x14ac:dyDescent="0.25">
      <c r="A148" s="149"/>
      <c r="B148" s="149"/>
      <c r="C148" s="152" t="s">
        <v>315</v>
      </c>
      <c r="D148" s="325"/>
      <c r="E148" s="319"/>
      <c r="F148" s="319"/>
      <c r="G148" s="319"/>
      <c r="H148" s="473"/>
      <c r="I148" s="319"/>
      <c r="J148" s="319"/>
      <c r="K148" s="319"/>
      <c r="L148" s="319"/>
      <c r="M148" s="319"/>
      <c r="N148" s="319"/>
      <c r="O148" s="275"/>
    </row>
    <row r="149" spans="1:15" s="141" customFormat="1" ht="24.9" hidden="1" customHeight="1" x14ac:dyDescent="0.25">
      <c r="A149" s="149"/>
      <c r="B149" s="149"/>
      <c r="C149" s="327" t="s">
        <v>316</v>
      </c>
      <c r="D149" s="336">
        <v>191906</v>
      </c>
      <c r="E149" s="319"/>
      <c r="F149" s="319"/>
      <c r="G149" s="319"/>
      <c r="H149" s="473"/>
      <c r="I149" s="319"/>
      <c r="J149" s="319"/>
      <c r="K149" s="319"/>
      <c r="L149" s="319"/>
      <c r="M149" s="319"/>
      <c r="N149" s="319"/>
      <c r="O149" s="275">
        <f>SUM(E149:N149)</f>
        <v>0</v>
      </c>
    </row>
    <row r="150" spans="1:15" s="141" customFormat="1" ht="19.2" customHeight="1" x14ac:dyDescent="0.25">
      <c r="A150" s="745"/>
      <c r="B150" s="745"/>
      <c r="C150" s="681" t="s">
        <v>225</v>
      </c>
      <c r="D150" s="749"/>
      <c r="E150" s="750"/>
      <c r="F150" s="750"/>
      <c r="G150" s="750"/>
      <c r="H150" s="751"/>
      <c r="I150" s="750"/>
      <c r="J150" s="750"/>
      <c r="K150" s="750"/>
      <c r="L150" s="750"/>
      <c r="M150" s="750"/>
      <c r="N150" s="750"/>
      <c r="O150" s="275"/>
    </row>
    <row r="151" spans="1:15" s="141" customFormat="1" ht="17.399999999999999" customHeight="1" x14ac:dyDescent="0.25">
      <c r="A151" s="745"/>
      <c r="B151" s="745"/>
      <c r="C151" s="752" t="s">
        <v>1292</v>
      </c>
      <c r="D151" s="753">
        <v>191193</v>
      </c>
      <c r="E151" s="750"/>
      <c r="F151" s="750"/>
      <c r="G151" s="750"/>
      <c r="H151" s="751"/>
      <c r="I151" s="750"/>
      <c r="J151" s="750">
        <v>8700</v>
      </c>
      <c r="K151" s="750"/>
      <c r="L151" s="750"/>
      <c r="M151" s="750"/>
      <c r="N151" s="750"/>
      <c r="O151" s="275">
        <f t="shared" ref="O151" si="18">SUM(E151:N151)</f>
        <v>8700</v>
      </c>
    </row>
    <row r="152" spans="1:15" s="141" customFormat="1" ht="15.75" customHeight="1" x14ac:dyDescent="0.25">
      <c r="A152" s="160"/>
      <c r="B152" s="155"/>
      <c r="C152" s="322" t="s">
        <v>317</v>
      </c>
      <c r="D152" s="155"/>
      <c r="E152" s="323">
        <f>SUM(E128:E151)</f>
        <v>204372</v>
      </c>
      <c r="F152" s="323">
        <f t="shared" ref="F152:O152" si="19">SUM(F128:F151)</f>
        <v>0</v>
      </c>
      <c r="G152" s="323">
        <f t="shared" si="19"/>
        <v>0</v>
      </c>
      <c r="H152" s="323">
        <f t="shared" si="19"/>
        <v>0</v>
      </c>
      <c r="I152" s="323">
        <f t="shared" si="19"/>
        <v>0</v>
      </c>
      <c r="J152" s="323">
        <f t="shared" si="19"/>
        <v>8700</v>
      </c>
      <c r="K152" s="323">
        <f t="shared" si="19"/>
        <v>0</v>
      </c>
      <c r="L152" s="323">
        <f t="shared" si="19"/>
        <v>0</v>
      </c>
      <c r="M152" s="323">
        <f t="shared" si="19"/>
        <v>637</v>
      </c>
      <c r="N152" s="323">
        <f t="shared" si="19"/>
        <v>0</v>
      </c>
      <c r="O152" s="323">
        <f t="shared" si="19"/>
        <v>213709</v>
      </c>
    </row>
    <row r="153" spans="1:15" s="141" customFormat="1" ht="17.100000000000001" customHeight="1" x14ac:dyDescent="0.25">
      <c r="A153" s="149">
        <v>1</v>
      </c>
      <c r="B153" s="156">
        <v>22</v>
      </c>
      <c r="C153" s="324" t="s">
        <v>9</v>
      </c>
      <c r="D153" s="156"/>
      <c r="E153" s="337"/>
      <c r="F153" s="337"/>
      <c r="G153" s="337"/>
      <c r="H153" s="337"/>
      <c r="I153" s="337"/>
      <c r="J153" s="337"/>
      <c r="K153" s="337"/>
      <c r="L153" s="337"/>
      <c r="M153" s="337"/>
      <c r="N153" s="337"/>
      <c r="O153" s="337"/>
    </row>
    <row r="154" spans="1:15" s="141" customFormat="1" ht="17.100000000000001" customHeight="1" x14ac:dyDescent="0.25">
      <c r="A154" s="745"/>
      <c r="B154" s="754"/>
      <c r="C154" s="681" t="s">
        <v>225</v>
      </c>
      <c r="D154" s="754"/>
      <c r="E154" s="755"/>
      <c r="F154" s="755"/>
      <c r="G154" s="755"/>
      <c r="H154" s="755"/>
      <c r="I154" s="755"/>
      <c r="J154" s="755"/>
      <c r="K154" s="755"/>
      <c r="L154" s="755"/>
      <c r="M154" s="755"/>
      <c r="N154" s="755"/>
      <c r="O154" s="755"/>
    </row>
    <row r="155" spans="1:15" s="141" customFormat="1" ht="17.100000000000001" customHeight="1" x14ac:dyDescent="0.25">
      <c r="A155" s="521"/>
      <c r="B155" s="522"/>
      <c r="C155" s="756" t="s">
        <v>1293</v>
      </c>
      <c r="D155" s="745">
        <v>222929</v>
      </c>
      <c r="E155" s="523"/>
      <c r="F155" s="523"/>
      <c r="G155" s="523"/>
      <c r="H155" s="524"/>
      <c r="I155" s="524">
        <v>4840</v>
      </c>
      <c r="J155" s="524"/>
      <c r="K155" s="524"/>
      <c r="L155" s="524"/>
      <c r="M155" s="524"/>
      <c r="N155" s="524"/>
      <c r="O155" s="524">
        <f>SUM(E155:N155)</f>
        <v>4840</v>
      </c>
    </row>
    <row r="156" spans="1:15" s="141" customFormat="1" ht="17.100000000000001" customHeight="1" x14ac:dyDescent="0.25">
      <c r="A156" s="160"/>
      <c r="B156" s="155"/>
      <c r="C156" s="322" t="s">
        <v>318</v>
      </c>
      <c r="D156" s="155"/>
      <c r="E156" s="323">
        <f>SUM(E153:E153)</f>
        <v>0</v>
      </c>
      <c r="F156" s="323">
        <f>SUM(F153:F153)</f>
        <v>0</v>
      </c>
      <c r="G156" s="323">
        <f>SUM(G153:G153)</f>
        <v>0</v>
      </c>
      <c r="H156" s="323">
        <f>SUM(H155)</f>
        <v>0</v>
      </c>
      <c r="I156" s="323">
        <f t="shared" ref="I156:N156" si="20">SUM(I155)</f>
        <v>4840</v>
      </c>
      <c r="J156" s="323">
        <f t="shared" si="20"/>
        <v>0</v>
      </c>
      <c r="K156" s="323">
        <f t="shared" si="20"/>
        <v>0</v>
      </c>
      <c r="L156" s="323">
        <f t="shared" si="20"/>
        <v>0</v>
      </c>
      <c r="M156" s="323">
        <f t="shared" si="20"/>
        <v>0</v>
      </c>
      <c r="N156" s="323">
        <f t="shared" si="20"/>
        <v>0</v>
      </c>
      <c r="O156" s="323">
        <f>SUM(O155)</f>
        <v>4840</v>
      </c>
    </row>
    <row r="157" spans="1:15" s="141" customFormat="1" ht="24.9" customHeight="1" x14ac:dyDescent="0.25">
      <c r="A157" s="155"/>
      <c r="B157" s="155"/>
      <c r="C157" s="161" t="s">
        <v>12</v>
      </c>
      <c r="D157" s="339"/>
      <c r="E157" s="323">
        <f t="shared" ref="E157:O157" si="21">SUM(E8+E19+E24+E38+E88+E117+E126+E152+E156)</f>
        <v>1257583</v>
      </c>
      <c r="F157" s="323">
        <f t="shared" si="21"/>
        <v>-1168018</v>
      </c>
      <c r="G157" s="323">
        <f t="shared" si="21"/>
        <v>26000</v>
      </c>
      <c r="H157" s="323">
        <f t="shared" si="21"/>
        <v>118583</v>
      </c>
      <c r="I157" s="323">
        <f t="shared" si="21"/>
        <v>4840</v>
      </c>
      <c r="J157" s="323">
        <f t="shared" si="21"/>
        <v>8700</v>
      </c>
      <c r="K157" s="323">
        <f t="shared" si="21"/>
        <v>509</v>
      </c>
      <c r="L157" s="323">
        <f t="shared" si="21"/>
        <v>0</v>
      </c>
      <c r="M157" s="323">
        <f t="shared" si="21"/>
        <v>637</v>
      </c>
      <c r="N157" s="323">
        <f t="shared" si="21"/>
        <v>0</v>
      </c>
      <c r="O157" s="323">
        <f t="shared" si="21"/>
        <v>248834</v>
      </c>
    </row>
    <row r="158" spans="1:15" s="141" customFormat="1" ht="15.9" customHeight="1" x14ac:dyDescent="0.25">
      <c r="A158" s="149">
        <v>2</v>
      </c>
      <c r="B158" s="149"/>
      <c r="C158" s="340" t="s">
        <v>183</v>
      </c>
      <c r="D158" s="341"/>
      <c r="E158" s="275">
        <f>táj3!D22</f>
        <v>2120</v>
      </c>
      <c r="F158" s="275">
        <f>táj3!E22</f>
        <v>0</v>
      </c>
      <c r="G158" s="275">
        <f>táj3!F22</f>
        <v>0</v>
      </c>
      <c r="H158" s="275">
        <f>táj3!G22</f>
        <v>0</v>
      </c>
      <c r="I158" s="275">
        <f>táj3!H22</f>
        <v>0</v>
      </c>
      <c r="J158" s="275">
        <f>táj3!I22</f>
        <v>0</v>
      </c>
      <c r="K158" s="275">
        <f>táj3!J22</f>
        <v>0</v>
      </c>
      <c r="L158" s="275"/>
      <c r="M158" s="275">
        <f>táj3!K22</f>
        <v>0</v>
      </c>
      <c r="N158" s="275"/>
      <c r="O158" s="275">
        <f>SUM(E158:N158)</f>
        <v>2120</v>
      </c>
    </row>
    <row r="159" spans="1:15" s="141" customFormat="1" ht="15.9" customHeight="1" x14ac:dyDescent="0.25">
      <c r="A159" s="155"/>
      <c r="B159" s="155"/>
      <c r="C159" s="342" t="s">
        <v>173</v>
      </c>
      <c r="D159" s="155"/>
      <c r="E159" s="323">
        <f>SUM(E157:E158)</f>
        <v>1259703</v>
      </c>
      <c r="F159" s="323">
        <f>SUM(F157:F158)</f>
        <v>-1168018</v>
      </c>
      <c r="G159" s="323">
        <f t="shared" ref="G159:O159" si="22">SUM(G157:G158)</f>
        <v>26000</v>
      </c>
      <c r="H159" s="323">
        <f t="shared" si="22"/>
        <v>118583</v>
      </c>
      <c r="I159" s="323">
        <f t="shared" si="22"/>
        <v>4840</v>
      </c>
      <c r="J159" s="323">
        <f t="shared" si="22"/>
        <v>8700</v>
      </c>
      <c r="K159" s="323">
        <f t="shared" si="22"/>
        <v>509</v>
      </c>
      <c r="L159" s="323">
        <f t="shared" si="22"/>
        <v>0</v>
      </c>
      <c r="M159" s="323">
        <f t="shared" si="22"/>
        <v>637</v>
      </c>
      <c r="N159" s="323">
        <f t="shared" si="22"/>
        <v>0</v>
      </c>
      <c r="O159" s="323">
        <f t="shared" si="22"/>
        <v>250954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2022.  ÉVI BEVÉTELI ELŐIRÁNYZATAINAK MÓDOSÍTÁSA&amp;R&amp;"Times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740"/>
  <sheetViews>
    <sheetView topLeftCell="C1" zoomScaleNormal="100" zoomScaleSheetLayoutView="120" workbookViewId="0">
      <pane ySplit="2" topLeftCell="A167" activePane="bottomLeft" state="frozen"/>
      <selection pane="bottomLeft" activeCell="F207" sqref="F207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66" customWidth="1"/>
    <col min="14" max="14" width="8.77734375" style="266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 x14ac:dyDescent="0.25">
      <c r="A1" s="865" t="s">
        <v>89</v>
      </c>
      <c r="B1" s="865" t="s">
        <v>90</v>
      </c>
      <c r="C1" s="865" t="s">
        <v>19</v>
      </c>
      <c r="D1" s="867" t="s">
        <v>128</v>
      </c>
      <c r="E1" s="869" t="s">
        <v>319</v>
      </c>
      <c r="F1" s="871" t="s">
        <v>215</v>
      </c>
      <c r="G1" s="873" t="s">
        <v>134</v>
      </c>
      <c r="H1" s="873"/>
      <c r="I1" s="873"/>
      <c r="J1" s="873"/>
      <c r="K1" s="873"/>
      <c r="L1" s="873"/>
      <c r="M1" s="873"/>
      <c r="N1" s="874"/>
      <c r="O1" s="875" t="s">
        <v>133</v>
      </c>
      <c r="P1" s="874"/>
      <c r="Q1" s="862" t="s">
        <v>320</v>
      </c>
      <c r="R1" s="904" t="s">
        <v>1260</v>
      </c>
    </row>
    <row r="2" spans="1:18" ht="57.9" customHeight="1" thickBot="1" x14ac:dyDescent="0.3">
      <c r="A2" s="866"/>
      <c r="B2" s="866"/>
      <c r="C2" s="866"/>
      <c r="D2" s="868"/>
      <c r="E2" s="870"/>
      <c r="F2" s="872"/>
      <c r="G2" s="287" t="s">
        <v>113</v>
      </c>
      <c r="H2" s="162" t="s">
        <v>198</v>
      </c>
      <c r="I2" s="162" t="s">
        <v>192</v>
      </c>
      <c r="J2" s="162" t="s">
        <v>17</v>
      </c>
      <c r="K2" s="162" t="s">
        <v>24</v>
      </c>
      <c r="L2" s="162" t="s">
        <v>22</v>
      </c>
      <c r="M2" s="162" t="s">
        <v>21</v>
      </c>
      <c r="N2" s="162" t="s">
        <v>18</v>
      </c>
      <c r="O2" s="163" t="s">
        <v>138</v>
      </c>
      <c r="P2" s="164" t="s">
        <v>140</v>
      </c>
      <c r="Q2" s="863"/>
      <c r="R2" s="905"/>
    </row>
    <row r="3" spans="1:18" ht="16.5" customHeight="1" x14ac:dyDescent="0.25">
      <c r="A3" s="165">
        <v>1</v>
      </c>
      <c r="B3" s="166"/>
      <c r="C3" s="167"/>
      <c r="D3" s="343" t="s">
        <v>321</v>
      </c>
      <c r="E3" s="168"/>
      <c r="F3" s="169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1"/>
      <c r="R3" s="706"/>
    </row>
    <row r="4" spans="1:18" ht="12.75" customHeight="1" x14ac:dyDescent="0.25">
      <c r="A4" s="166">
        <v>1</v>
      </c>
      <c r="B4" s="166">
        <v>1</v>
      </c>
      <c r="C4" s="166"/>
      <c r="D4" s="343" t="s">
        <v>5</v>
      </c>
      <c r="E4" s="151"/>
      <c r="F4" s="172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706"/>
    </row>
    <row r="5" spans="1:18" ht="12" customHeight="1" x14ac:dyDescent="0.25">
      <c r="A5" s="173">
        <v>1</v>
      </c>
      <c r="B5" s="173">
        <v>12</v>
      </c>
      <c r="C5" s="173"/>
      <c r="D5" s="174" t="s">
        <v>101</v>
      </c>
      <c r="E5" s="175"/>
      <c r="F5" s="176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706"/>
    </row>
    <row r="6" spans="1:18" ht="14.4" hidden="1" customHeight="1" x14ac:dyDescent="0.25">
      <c r="A6" s="173"/>
      <c r="B6" s="173"/>
      <c r="C6" s="178"/>
      <c r="D6" s="179" t="s">
        <v>322</v>
      </c>
      <c r="E6" s="180"/>
      <c r="F6" s="181"/>
      <c r="G6" s="177"/>
      <c r="H6" s="177"/>
      <c r="I6" s="177"/>
      <c r="J6" s="177"/>
      <c r="K6" s="177"/>
      <c r="L6" s="177"/>
      <c r="M6" s="177"/>
      <c r="N6" s="177"/>
      <c r="O6" s="177"/>
      <c r="P6" s="177"/>
      <c r="Q6" s="177"/>
      <c r="R6" s="706"/>
    </row>
    <row r="7" spans="1:18" ht="14.4" hidden="1" customHeight="1" x14ac:dyDescent="0.25">
      <c r="A7" s="173"/>
      <c r="B7" s="173"/>
      <c r="C7" s="178"/>
      <c r="D7" s="182" t="s">
        <v>323</v>
      </c>
      <c r="E7" s="183">
        <v>2</v>
      </c>
      <c r="F7" s="184">
        <v>121103</v>
      </c>
      <c r="G7" s="177"/>
      <c r="H7" s="177"/>
      <c r="I7" s="177"/>
      <c r="J7" s="177"/>
      <c r="K7" s="177"/>
      <c r="L7" s="177"/>
      <c r="M7" s="177"/>
      <c r="N7" s="177"/>
      <c r="O7" s="177"/>
      <c r="P7" s="177"/>
      <c r="Q7" s="177">
        <f>SUM(G7:P7)</f>
        <v>0</v>
      </c>
      <c r="R7" s="706"/>
    </row>
    <row r="8" spans="1:18" ht="14.4" hidden="1" customHeight="1" x14ac:dyDescent="0.25">
      <c r="A8" s="173"/>
      <c r="B8" s="173"/>
      <c r="C8" s="178"/>
      <c r="D8" s="182" t="s">
        <v>324</v>
      </c>
      <c r="E8" s="183"/>
      <c r="F8" s="184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  <c r="R8" s="706"/>
    </row>
    <row r="9" spans="1:18" ht="14.4" hidden="1" customHeight="1" x14ac:dyDescent="0.25">
      <c r="A9" s="173"/>
      <c r="B9" s="173"/>
      <c r="C9" s="178"/>
      <c r="D9" s="182" t="s">
        <v>325</v>
      </c>
      <c r="E9" s="183">
        <v>2</v>
      </c>
      <c r="F9" s="184">
        <v>121104</v>
      </c>
      <c r="G9" s="177"/>
      <c r="H9" s="177"/>
      <c r="I9" s="177"/>
      <c r="J9" s="177"/>
      <c r="K9" s="177"/>
      <c r="L9" s="177"/>
      <c r="M9" s="177"/>
      <c r="N9" s="177"/>
      <c r="O9" s="177"/>
      <c r="P9" s="177"/>
      <c r="Q9" s="177">
        <f>SUM(G9:P9)</f>
        <v>0</v>
      </c>
      <c r="R9" s="706"/>
    </row>
    <row r="10" spans="1:18" ht="24" hidden="1" customHeight="1" x14ac:dyDescent="0.25">
      <c r="A10" s="173"/>
      <c r="B10" s="173"/>
      <c r="C10" s="178"/>
      <c r="D10" s="661" t="s">
        <v>326</v>
      </c>
      <c r="E10" s="183">
        <v>2</v>
      </c>
      <c r="F10" s="184">
        <v>121117</v>
      </c>
      <c r="G10" s="177"/>
      <c r="H10" s="177"/>
      <c r="I10" s="177"/>
      <c r="J10" s="177"/>
      <c r="K10" s="177"/>
      <c r="L10" s="177"/>
      <c r="M10" s="177"/>
      <c r="N10" s="177"/>
      <c r="O10" s="177"/>
      <c r="P10" s="177"/>
      <c r="Q10" s="177">
        <f>SUM(G10:P10)</f>
        <v>0</v>
      </c>
      <c r="R10" s="706"/>
    </row>
    <row r="11" spans="1:18" ht="14.4" hidden="1" customHeight="1" x14ac:dyDescent="0.25">
      <c r="A11" s="173"/>
      <c r="B11" s="173"/>
      <c r="C11" s="178"/>
      <c r="D11" s="662" t="s">
        <v>327</v>
      </c>
      <c r="E11" s="183"/>
      <c r="F11" s="184"/>
      <c r="G11" s="177"/>
      <c r="H11" s="177"/>
      <c r="I11" s="177"/>
      <c r="J11" s="177"/>
      <c r="K11" s="177"/>
      <c r="L11" s="177"/>
      <c r="M11" s="177"/>
      <c r="N11" s="177"/>
      <c r="O11" s="177"/>
      <c r="P11" s="177"/>
      <c r="Q11" s="177"/>
      <c r="R11" s="706"/>
    </row>
    <row r="12" spans="1:18" ht="14.4" hidden="1" customHeight="1" x14ac:dyDescent="0.25">
      <c r="A12" s="173"/>
      <c r="B12" s="173"/>
      <c r="C12" s="178"/>
      <c r="D12" s="662" t="s">
        <v>328</v>
      </c>
      <c r="E12" s="183">
        <v>2</v>
      </c>
      <c r="F12" s="184">
        <v>121111</v>
      </c>
      <c r="G12" s="177"/>
      <c r="H12" s="177"/>
      <c r="I12" s="177"/>
      <c r="J12" s="177"/>
      <c r="K12" s="177"/>
      <c r="L12" s="177"/>
      <c r="M12" s="177"/>
      <c r="N12" s="177"/>
      <c r="O12" s="177"/>
      <c r="P12" s="177"/>
      <c r="Q12" s="177">
        <f t="shared" ref="Q12:Q16" si="0">SUM(G12:P12)</f>
        <v>0</v>
      </c>
      <c r="R12" s="706"/>
    </row>
    <row r="13" spans="1:18" ht="14.4" hidden="1" customHeight="1" x14ac:dyDescent="0.25">
      <c r="A13" s="173"/>
      <c r="B13" s="173"/>
      <c r="C13" s="178"/>
      <c r="D13" s="662" t="s">
        <v>329</v>
      </c>
      <c r="E13" s="183">
        <v>2</v>
      </c>
      <c r="F13" s="183">
        <v>121127</v>
      </c>
      <c r="G13" s="177"/>
      <c r="H13" s="177"/>
      <c r="I13" s="177"/>
      <c r="J13" s="177"/>
      <c r="K13" s="177"/>
      <c r="L13" s="177"/>
      <c r="M13" s="177"/>
      <c r="N13" s="177"/>
      <c r="O13" s="177"/>
      <c r="P13" s="177"/>
      <c r="Q13" s="177">
        <f t="shared" si="0"/>
        <v>0</v>
      </c>
      <c r="R13" s="706"/>
    </row>
    <row r="14" spans="1:18" ht="14.4" hidden="1" customHeight="1" x14ac:dyDescent="0.25">
      <c r="A14" s="173"/>
      <c r="B14" s="173"/>
      <c r="C14" s="178"/>
      <c r="D14" s="662" t="s">
        <v>330</v>
      </c>
      <c r="E14" s="183">
        <v>2</v>
      </c>
      <c r="F14" s="183">
        <v>121115</v>
      </c>
      <c r="G14" s="177"/>
      <c r="H14" s="177"/>
      <c r="I14" s="177"/>
      <c r="J14" s="177"/>
      <c r="K14" s="177"/>
      <c r="L14" s="177"/>
      <c r="M14" s="177"/>
      <c r="N14" s="177"/>
      <c r="O14" s="177"/>
      <c r="P14" s="177"/>
      <c r="Q14" s="177">
        <f t="shared" si="0"/>
        <v>0</v>
      </c>
      <c r="R14" s="706"/>
    </row>
    <row r="15" spans="1:18" ht="14.4" hidden="1" customHeight="1" x14ac:dyDescent="0.25">
      <c r="A15" s="173"/>
      <c r="B15" s="173"/>
      <c r="C15" s="178"/>
      <c r="D15" s="662" t="s">
        <v>331</v>
      </c>
      <c r="E15" s="183">
        <v>2</v>
      </c>
      <c r="F15" s="183">
        <v>121129</v>
      </c>
      <c r="G15" s="177"/>
      <c r="H15" s="177"/>
      <c r="I15" s="177"/>
      <c r="J15" s="177"/>
      <c r="K15" s="177"/>
      <c r="L15" s="177"/>
      <c r="M15" s="177"/>
      <c r="N15" s="177"/>
      <c r="O15" s="177"/>
      <c r="P15" s="177"/>
      <c r="Q15" s="177">
        <f t="shared" si="0"/>
        <v>0</v>
      </c>
      <c r="R15" s="706"/>
    </row>
    <row r="16" spans="1:18" ht="14.4" hidden="1" customHeight="1" x14ac:dyDescent="0.25">
      <c r="A16" s="173"/>
      <c r="B16" s="173"/>
      <c r="C16" s="178"/>
      <c r="D16" s="663" t="s">
        <v>332</v>
      </c>
      <c r="E16" s="183">
        <v>2</v>
      </c>
      <c r="F16" s="183">
        <v>121106</v>
      </c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>
        <f t="shared" si="0"/>
        <v>0</v>
      </c>
      <c r="R16" s="706"/>
    </row>
    <row r="17" spans="1:18" ht="27" hidden="1" customHeight="1" x14ac:dyDescent="0.25">
      <c r="A17" s="173"/>
      <c r="B17" s="173"/>
      <c r="C17" s="178"/>
      <c r="D17" s="664" t="s">
        <v>333</v>
      </c>
      <c r="E17" s="183"/>
      <c r="F17" s="183"/>
      <c r="G17" s="177"/>
      <c r="H17" s="177"/>
      <c r="I17" s="177"/>
      <c r="J17" s="177"/>
      <c r="K17" s="177"/>
      <c r="L17" s="177"/>
      <c r="M17" s="177"/>
      <c r="N17" s="177"/>
      <c r="O17" s="177"/>
      <c r="P17" s="177"/>
      <c r="Q17" s="177"/>
      <c r="R17" s="706"/>
    </row>
    <row r="18" spans="1:18" ht="14.4" hidden="1" customHeight="1" x14ac:dyDescent="0.25">
      <c r="A18" s="173"/>
      <c r="B18" s="173"/>
      <c r="C18" s="178"/>
      <c r="D18" s="662" t="s">
        <v>334</v>
      </c>
      <c r="E18" s="183">
        <v>2</v>
      </c>
      <c r="F18" s="183">
        <v>121131</v>
      </c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>
        <f>SUM(G18:P18)</f>
        <v>0</v>
      </c>
      <c r="R18" s="706"/>
    </row>
    <row r="19" spans="1:18" ht="14.4" hidden="1" customHeight="1" x14ac:dyDescent="0.25">
      <c r="A19" s="173"/>
      <c r="B19" s="173"/>
      <c r="C19" s="178"/>
      <c r="D19" s="662" t="s">
        <v>324</v>
      </c>
      <c r="E19" s="183"/>
      <c r="F19" s="183"/>
      <c r="G19" s="177"/>
      <c r="H19" s="177"/>
      <c r="I19" s="177"/>
      <c r="J19" s="177"/>
      <c r="K19" s="177"/>
      <c r="L19" s="177"/>
      <c r="M19" s="177"/>
      <c r="N19" s="177"/>
      <c r="O19" s="177"/>
      <c r="P19" s="177"/>
      <c r="Q19" s="177"/>
      <c r="R19" s="706"/>
    </row>
    <row r="20" spans="1:18" ht="14.4" hidden="1" customHeight="1" x14ac:dyDescent="0.25">
      <c r="A20" s="173"/>
      <c r="B20" s="173"/>
      <c r="C20" s="178"/>
      <c r="D20" s="662" t="s">
        <v>335</v>
      </c>
      <c r="E20" s="183">
        <v>2</v>
      </c>
      <c r="F20" s="183">
        <v>121130</v>
      </c>
      <c r="G20" s="177"/>
      <c r="H20" s="177"/>
      <c r="I20" s="177"/>
      <c r="J20" s="177"/>
      <c r="K20" s="177"/>
      <c r="L20" s="177"/>
      <c r="M20" s="177"/>
      <c r="N20" s="177"/>
      <c r="O20" s="177"/>
      <c r="P20" s="177"/>
      <c r="Q20" s="177">
        <f>SUM(G20:P20)</f>
        <v>0</v>
      </c>
      <c r="R20" s="706"/>
    </row>
    <row r="21" spans="1:18" ht="14.4" hidden="1" customHeight="1" x14ac:dyDescent="0.25">
      <c r="A21" s="173"/>
      <c r="B21" s="173"/>
      <c r="C21" s="178"/>
      <c r="D21" s="662" t="s">
        <v>327</v>
      </c>
      <c r="E21" s="183"/>
      <c r="F21" s="183"/>
      <c r="G21" s="177"/>
      <c r="H21" s="177"/>
      <c r="I21" s="177"/>
      <c r="J21" s="177"/>
      <c r="K21" s="177"/>
      <c r="L21" s="177"/>
      <c r="M21" s="177"/>
      <c r="N21" s="177"/>
      <c r="O21" s="177"/>
      <c r="P21" s="177"/>
      <c r="Q21" s="177"/>
      <c r="R21" s="706"/>
    </row>
    <row r="22" spans="1:18" ht="14.4" hidden="1" customHeight="1" x14ac:dyDescent="0.25">
      <c r="A22" s="173"/>
      <c r="B22" s="173"/>
      <c r="C22" s="178"/>
      <c r="D22" s="182" t="s">
        <v>336</v>
      </c>
      <c r="E22" s="183">
        <v>1</v>
      </c>
      <c r="F22" s="184">
        <v>121204</v>
      </c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>
        <f>SUM(G22:P22)</f>
        <v>0</v>
      </c>
      <c r="R22" s="706"/>
    </row>
    <row r="23" spans="1:18" ht="14.4" hidden="1" customHeight="1" x14ac:dyDescent="0.25">
      <c r="A23" s="173"/>
      <c r="B23" s="173"/>
      <c r="C23" s="178"/>
      <c r="D23" s="344" t="s">
        <v>337</v>
      </c>
      <c r="E23" s="345">
        <v>1</v>
      </c>
      <c r="F23" s="184">
        <v>121132</v>
      </c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>
        <f>SUM(G23:P23)</f>
        <v>0</v>
      </c>
      <c r="R23" s="706"/>
    </row>
    <row r="24" spans="1:18" ht="14.4" hidden="1" customHeight="1" x14ac:dyDescent="0.25">
      <c r="A24" s="173"/>
      <c r="B24" s="173"/>
      <c r="C24" s="178"/>
      <c r="D24" s="185" t="s">
        <v>338</v>
      </c>
      <c r="E24" s="183">
        <v>1</v>
      </c>
      <c r="F24" s="184">
        <v>121203</v>
      </c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>
        <f>SUM(G24:P24)</f>
        <v>0</v>
      </c>
      <c r="R24" s="706"/>
    </row>
    <row r="25" spans="1:18" ht="14.4" hidden="1" customHeight="1" x14ac:dyDescent="0.25">
      <c r="A25" s="173"/>
      <c r="B25" s="173"/>
      <c r="C25" s="178"/>
      <c r="D25" s="186" t="s">
        <v>339</v>
      </c>
      <c r="E25" s="183"/>
      <c r="F25" s="151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706"/>
    </row>
    <row r="26" spans="1:18" ht="14.4" hidden="1" customHeight="1" x14ac:dyDescent="0.25">
      <c r="A26" s="173"/>
      <c r="B26" s="173"/>
      <c r="C26" s="178"/>
      <c r="D26" s="182" t="s">
        <v>340</v>
      </c>
      <c r="E26" s="183">
        <v>2</v>
      </c>
      <c r="F26" s="184">
        <v>121504</v>
      </c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>
        <f>SUM(G26:P26)</f>
        <v>0</v>
      </c>
      <c r="R26" s="706"/>
    </row>
    <row r="27" spans="1:18" ht="14.4" hidden="1" customHeight="1" x14ac:dyDescent="0.25">
      <c r="A27" s="173"/>
      <c r="B27" s="173"/>
      <c r="C27" s="178"/>
      <c r="D27" s="182" t="s">
        <v>292</v>
      </c>
      <c r="E27" s="183"/>
      <c r="F27" s="184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706"/>
    </row>
    <row r="28" spans="1:18" ht="12.6" hidden="1" customHeight="1" x14ac:dyDescent="0.25">
      <c r="A28" s="172"/>
      <c r="B28" s="187"/>
      <c r="C28" s="346"/>
      <c r="D28" s="151" t="s">
        <v>341</v>
      </c>
      <c r="E28" s="183">
        <v>1</v>
      </c>
      <c r="F28" s="151">
        <v>121403</v>
      </c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>
        <f>SUM(G28:P28)</f>
        <v>0</v>
      </c>
      <c r="R28" s="706"/>
    </row>
    <row r="29" spans="1:18" ht="12.6" customHeight="1" x14ac:dyDescent="0.25">
      <c r="A29" s="172"/>
      <c r="B29" s="187"/>
      <c r="C29" s="346"/>
      <c r="D29" s="151" t="s">
        <v>342</v>
      </c>
      <c r="E29" s="151"/>
      <c r="F29" s="151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706"/>
    </row>
    <row r="30" spans="1:18" ht="12.6" customHeight="1" x14ac:dyDescent="0.25">
      <c r="A30" s="172"/>
      <c r="B30" s="172"/>
      <c r="C30" s="188"/>
      <c r="D30" s="186" t="s">
        <v>343</v>
      </c>
      <c r="E30" s="151">
        <v>1</v>
      </c>
      <c r="F30" s="151">
        <v>121301</v>
      </c>
      <c r="G30" s="177"/>
      <c r="H30" s="177"/>
      <c r="I30" s="177"/>
      <c r="J30" s="177">
        <v>-2500</v>
      </c>
      <c r="K30" s="177"/>
      <c r="L30" s="177"/>
      <c r="M30" s="177"/>
      <c r="N30" s="177"/>
      <c r="O30" s="177"/>
      <c r="P30" s="177"/>
      <c r="Q30" s="177">
        <f>SUM(G30:P30)</f>
        <v>-2500</v>
      </c>
      <c r="R30" s="706" t="s">
        <v>1294</v>
      </c>
    </row>
    <row r="31" spans="1:18" ht="12.6" hidden="1" customHeight="1" x14ac:dyDescent="0.25">
      <c r="A31" s="172"/>
      <c r="B31" s="172"/>
      <c r="C31" s="188"/>
      <c r="D31" s="189" t="s">
        <v>216</v>
      </c>
      <c r="E31" s="183"/>
      <c r="F31" s="151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706"/>
    </row>
    <row r="32" spans="1:18" ht="12.6" hidden="1" customHeight="1" x14ac:dyDescent="0.25">
      <c r="A32" s="172"/>
      <c r="B32" s="172"/>
      <c r="C32" s="188"/>
      <c r="D32" s="190" t="s">
        <v>344</v>
      </c>
      <c r="E32" s="183">
        <v>2</v>
      </c>
      <c r="F32" s="151">
        <v>221902</v>
      </c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>
        <f>SUM(G32:P32)</f>
        <v>0</v>
      </c>
      <c r="R32" s="706"/>
    </row>
    <row r="33" spans="1:18" ht="12.6" hidden="1" customHeight="1" x14ac:dyDescent="0.25">
      <c r="A33" s="172"/>
      <c r="B33" s="172"/>
      <c r="C33" s="188"/>
      <c r="D33" s="191" t="s">
        <v>345</v>
      </c>
      <c r="E33" s="183">
        <v>2</v>
      </c>
      <c r="F33" s="151" t="s">
        <v>346</v>
      </c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>
        <f>SUM(G33:P33)</f>
        <v>0</v>
      </c>
      <c r="R33" s="706"/>
    </row>
    <row r="34" spans="1:18" ht="12.6" hidden="1" customHeight="1" x14ac:dyDescent="0.25">
      <c r="A34" s="172"/>
      <c r="B34" s="172"/>
      <c r="C34" s="188"/>
      <c r="D34" s="191" t="s">
        <v>882</v>
      </c>
      <c r="E34" s="183">
        <v>1</v>
      </c>
      <c r="F34" s="151">
        <v>121118</v>
      </c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>
        <f t="shared" ref="Q34:Q35" si="1">SUM(G34:P34)</f>
        <v>0</v>
      </c>
      <c r="R34" s="706"/>
    </row>
    <row r="35" spans="1:18" ht="12.6" hidden="1" customHeight="1" x14ac:dyDescent="0.25">
      <c r="A35" s="172"/>
      <c r="B35" s="172"/>
      <c r="C35" s="188"/>
      <c r="D35" s="185" t="s">
        <v>883</v>
      </c>
      <c r="E35" s="183">
        <v>1</v>
      </c>
      <c r="F35" s="151">
        <v>121515</v>
      </c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>
        <f t="shared" si="1"/>
        <v>0</v>
      </c>
      <c r="R35" s="706"/>
    </row>
    <row r="36" spans="1:18" ht="14.1" hidden="1" customHeight="1" x14ac:dyDescent="0.25">
      <c r="A36" s="172"/>
      <c r="B36" s="172"/>
      <c r="C36" s="188"/>
      <c r="D36" s="179" t="s">
        <v>347</v>
      </c>
      <c r="E36" s="183"/>
      <c r="F36" s="151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706"/>
    </row>
    <row r="37" spans="1:18" ht="14.1" hidden="1" customHeight="1" x14ac:dyDescent="0.25">
      <c r="A37" s="172"/>
      <c r="B37" s="172"/>
      <c r="C37" s="188"/>
      <c r="D37" s="186" t="s">
        <v>348</v>
      </c>
      <c r="E37" s="183">
        <v>1</v>
      </c>
      <c r="F37" s="151">
        <v>121601</v>
      </c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>
        <f>SUM(G37:P37)</f>
        <v>0</v>
      </c>
      <c r="R37" s="706"/>
    </row>
    <row r="38" spans="1:18" ht="14.1" hidden="1" customHeight="1" x14ac:dyDescent="0.25">
      <c r="A38" s="172"/>
      <c r="B38" s="172"/>
      <c r="C38" s="188"/>
      <c r="D38" s="193" t="s">
        <v>349</v>
      </c>
      <c r="E38" s="183"/>
      <c r="F38" s="183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706"/>
    </row>
    <row r="39" spans="1:18" ht="14.1" hidden="1" customHeight="1" x14ac:dyDescent="0.25">
      <c r="A39" s="172"/>
      <c r="B39" s="172"/>
      <c r="C39" s="188"/>
      <c r="D39" s="186" t="s">
        <v>350</v>
      </c>
      <c r="E39" s="183">
        <v>2</v>
      </c>
      <c r="F39" s="151">
        <v>121517</v>
      </c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>
        <f>SUM(G39:P39)</f>
        <v>0</v>
      </c>
      <c r="R39" s="706"/>
    </row>
    <row r="40" spans="1:18" ht="12" x14ac:dyDescent="0.25">
      <c r="A40" s="194"/>
      <c r="B40" s="194"/>
      <c r="C40" s="195"/>
      <c r="D40" s="196" t="s">
        <v>351</v>
      </c>
      <c r="E40" s="197"/>
      <c r="F40" s="198"/>
      <c r="G40" s="198">
        <f t="shared" ref="G40:Q40" si="2">SUM(G7:G39)</f>
        <v>0</v>
      </c>
      <c r="H40" s="198">
        <f t="shared" si="2"/>
        <v>0</v>
      </c>
      <c r="I40" s="198">
        <f t="shared" si="2"/>
        <v>0</v>
      </c>
      <c r="J40" s="198">
        <f t="shared" si="2"/>
        <v>-2500</v>
      </c>
      <c r="K40" s="198">
        <f t="shared" si="2"/>
        <v>0</v>
      </c>
      <c r="L40" s="198">
        <f t="shared" si="2"/>
        <v>0</v>
      </c>
      <c r="M40" s="198">
        <f t="shared" si="2"/>
        <v>0</v>
      </c>
      <c r="N40" s="198">
        <f t="shared" si="2"/>
        <v>0</v>
      </c>
      <c r="O40" s="198">
        <f t="shared" si="2"/>
        <v>0</v>
      </c>
      <c r="P40" s="198">
        <f t="shared" si="2"/>
        <v>0</v>
      </c>
      <c r="Q40" s="198">
        <f t="shared" si="2"/>
        <v>-2500</v>
      </c>
      <c r="R40" s="707"/>
    </row>
    <row r="41" spans="1:18" ht="12" x14ac:dyDescent="0.25">
      <c r="A41" s="199"/>
      <c r="B41" s="199"/>
      <c r="C41" s="188"/>
      <c r="D41" s="186" t="s">
        <v>352</v>
      </c>
      <c r="E41" s="200"/>
      <c r="F41" s="151"/>
      <c r="G41" s="202"/>
      <c r="H41" s="202"/>
      <c r="I41" s="202"/>
      <c r="J41" s="202"/>
      <c r="K41" s="202"/>
      <c r="L41" s="202"/>
      <c r="M41" s="202"/>
      <c r="N41" s="202"/>
      <c r="O41" s="202"/>
      <c r="P41" s="202"/>
      <c r="Q41" s="202"/>
      <c r="R41" s="706"/>
    </row>
    <row r="42" spans="1:18" ht="24" hidden="1" x14ac:dyDescent="0.25">
      <c r="A42" s="199"/>
      <c r="B42" s="199"/>
      <c r="C42" s="188" t="s">
        <v>353</v>
      </c>
      <c r="D42" s="665" t="s">
        <v>354</v>
      </c>
      <c r="E42" s="200"/>
      <c r="F42" s="151">
        <v>121401</v>
      </c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>
        <f>SUM(G42:P42)</f>
        <v>0</v>
      </c>
      <c r="R42" s="706"/>
    </row>
    <row r="43" spans="1:18" ht="12" hidden="1" x14ac:dyDescent="0.25">
      <c r="A43" s="199"/>
      <c r="B43" s="199"/>
      <c r="C43" s="188"/>
      <c r="D43" s="566" t="s">
        <v>884</v>
      </c>
      <c r="E43" s="200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706"/>
    </row>
    <row r="44" spans="1:18" ht="12" hidden="1" x14ac:dyDescent="0.25">
      <c r="A44" s="199"/>
      <c r="B44" s="199"/>
      <c r="C44" s="188" t="s">
        <v>355</v>
      </c>
      <c r="D44" s="666" t="s">
        <v>356</v>
      </c>
      <c r="E44" s="200"/>
      <c r="F44" s="151">
        <v>121405</v>
      </c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>
        <f>SUM(G44:P44)</f>
        <v>0</v>
      </c>
      <c r="R44" s="706"/>
    </row>
    <row r="45" spans="1:18" ht="24" hidden="1" x14ac:dyDescent="0.25">
      <c r="A45" s="199"/>
      <c r="B45" s="199"/>
      <c r="C45" s="188" t="s">
        <v>357</v>
      </c>
      <c r="D45" s="667" t="s">
        <v>358</v>
      </c>
      <c r="E45" s="200"/>
      <c r="F45" s="151">
        <v>121402</v>
      </c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>
        <f>SUM(G45:P45)</f>
        <v>0</v>
      </c>
      <c r="R45" s="706"/>
    </row>
    <row r="46" spans="1:18" ht="12" x14ac:dyDescent="0.25">
      <c r="A46" s="194"/>
      <c r="B46" s="194"/>
      <c r="C46" s="195"/>
      <c r="D46" s="196" t="s">
        <v>359</v>
      </c>
      <c r="E46" s="197"/>
      <c r="F46" s="198"/>
      <c r="G46" s="198">
        <f t="shared" ref="G46:Q46" si="3">SUM(G40:G45)</f>
        <v>0</v>
      </c>
      <c r="H46" s="198">
        <f t="shared" si="3"/>
        <v>0</v>
      </c>
      <c r="I46" s="198">
        <f t="shared" si="3"/>
        <v>0</v>
      </c>
      <c r="J46" s="198">
        <f t="shared" si="3"/>
        <v>-2500</v>
      </c>
      <c r="K46" s="198">
        <f t="shared" si="3"/>
        <v>0</v>
      </c>
      <c r="L46" s="198">
        <f t="shared" si="3"/>
        <v>0</v>
      </c>
      <c r="M46" s="198">
        <f t="shared" si="3"/>
        <v>0</v>
      </c>
      <c r="N46" s="198">
        <f t="shared" si="3"/>
        <v>0</v>
      </c>
      <c r="O46" s="198">
        <f t="shared" si="3"/>
        <v>0</v>
      </c>
      <c r="P46" s="198">
        <f t="shared" si="3"/>
        <v>0</v>
      </c>
      <c r="Q46" s="198">
        <f t="shared" si="3"/>
        <v>-2500</v>
      </c>
      <c r="R46" s="707"/>
    </row>
    <row r="47" spans="1:18" ht="12" customHeight="1" x14ac:dyDescent="0.25">
      <c r="A47" s="172">
        <v>1</v>
      </c>
      <c r="B47" s="172">
        <v>13</v>
      </c>
      <c r="C47" s="172"/>
      <c r="D47" s="174" t="s">
        <v>102</v>
      </c>
      <c r="E47" s="201" t="s">
        <v>360</v>
      </c>
      <c r="F47" s="202"/>
      <c r="G47" s="202"/>
      <c r="H47" s="177"/>
      <c r="I47" s="177"/>
      <c r="J47" s="177"/>
      <c r="K47" s="177"/>
      <c r="L47" s="177"/>
      <c r="M47" s="202"/>
      <c r="N47" s="202"/>
      <c r="O47" s="202"/>
      <c r="P47" s="202"/>
      <c r="Q47" s="202"/>
      <c r="R47" s="706"/>
    </row>
    <row r="48" spans="1:18" ht="12" hidden="1" x14ac:dyDescent="0.25">
      <c r="A48" s="172"/>
      <c r="B48" s="172"/>
      <c r="C48" s="188"/>
      <c r="D48" s="203" t="s">
        <v>361</v>
      </c>
      <c r="E48" s="201"/>
      <c r="F48" s="202"/>
      <c r="G48" s="202"/>
      <c r="H48" s="177"/>
      <c r="I48" s="177"/>
      <c r="J48" s="177"/>
      <c r="K48" s="177"/>
      <c r="L48" s="177"/>
      <c r="M48" s="202"/>
      <c r="N48" s="202"/>
      <c r="O48" s="202"/>
      <c r="P48" s="202"/>
      <c r="Q48" s="202"/>
      <c r="R48" s="706"/>
    </row>
    <row r="49" spans="1:18" ht="12" hidden="1" customHeight="1" x14ac:dyDescent="0.25">
      <c r="A49" s="172"/>
      <c r="B49" s="172"/>
      <c r="C49" s="188"/>
      <c r="D49" s="185" t="s">
        <v>362</v>
      </c>
      <c r="E49" s="204"/>
      <c r="F49" s="183"/>
      <c r="G49" s="151"/>
      <c r="H49" s="177"/>
      <c r="I49" s="177"/>
      <c r="J49" s="177"/>
      <c r="K49" s="177"/>
      <c r="L49" s="177"/>
      <c r="M49" s="151"/>
      <c r="N49" s="151"/>
      <c r="O49" s="151"/>
      <c r="P49" s="151"/>
      <c r="Q49" s="151"/>
      <c r="R49" s="706"/>
    </row>
    <row r="50" spans="1:18" ht="27" hidden="1" customHeight="1" x14ac:dyDescent="0.25">
      <c r="A50" s="172"/>
      <c r="B50" s="172"/>
      <c r="C50" s="188"/>
      <c r="D50" s="193" t="s">
        <v>363</v>
      </c>
      <c r="E50" s="151">
        <v>2</v>
      </c>
      <c r="F50" s="151">
        <v>131112</v>
      </c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>
        <f t="shared" ref="Q50:Q56" si="4">SUM(G50:P50)</f>
        <v>0</v>
      </c>
      <c r="R50" s="706"/>
    </row>
    <row r="51" spans="1:18" ht="24.75" hidden="1" customHeight="1" x14ac:dyDescent="0.25">
      <c r="A51" s="172"/>
      <c r="B51" s="172"/>
      <c r="C51" s="188"/>
      <c r="D51" s="205" t="s">
        <v>364</v>
      </c>
      <c r="E51" s="151">
        <v>2</v>
      </c>
      <c r="F51" s="151">
        <v>131123</v>
      </c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>
        <f t="shared" si="4"/>
        <v>0</v>
      </c>
      <c r="R51" s="706"/>
    </row>
    <row r="52" spans="1:18" ht="17.399999999999999" hidden="1" customHeight="1" x14ac:dyDescent="0.25">
      <c r="A52" s="172"/>
      <c r="B52" s="172"/>
      <c r="C52" s="188"/>
      <c r="D52" s="205" t="s">
        <v>1020</v>
      </c>
      <c r="E52" s="151">
        <v>2</v>
      </c>
      <c r="F52" s="151">
        <v>131212</v>
      </c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>
        <f t="shared" si="4"/>
        <v>0</v>
      </c>
      <c r="R52" s="706"/>
    </row>
    <row r="53" spans="1:18" ht="22.5" hidden="1" customHeight="1" x14ac:dyDescent="0.25">
      <c r="A53" s="172"/>
      <c r="B53" s="172"/>
      <c r="C53" s="188"/>
      <c r="D53" s="205" t="s">
        <v>365</v>
      </c>
      <c r="E53" s="151">
        <v>2</v>
      </c>
      <c r="F53" s="151">
        <v>131122</v>
      </c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>
        <f t="shared" si="4"/>
        <v>0</v>
      </c>
      <c r="R53" s="706"/>
    </row>
    <row r="54" spans="1:18" ht="22.5" hidden="1" customHeight="1" x14ac:dyDescent="0.25">
      <c r="A54" s="172"/>
      <c r="B54" s="172"/>
      <c r="C54" s="188"/>
      <c r="D54" s="205" t="s">
        <v>885</v>
      </c>
      <c r="E54" s="151">
        <v>2</v>
      </c>
      <c r="F54" s="151">
        <v>131124</v>
      </c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>
        <f t="shared" si="4"/>
        <v>0</v>
      </c>
      <c r="R54" s="706"/>
    </row>
    <row r="55" spans="1:18" ht="15" hidden="1" customHeight="1" x14ac:dyDescent="0.25">
      <c r="A55" s="172"/>
      <c r="B55" s="172"/>
      <c r="C55" s="188"/>
      <c r="D55" s="186" t="s">
        <v>366</v>
      </c>
      <c r="E55" s="151">
        <v>2</v>
      </c>
      <c r="F55" s="151">
        <v>131107</v>
      </c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>
        <f t="shared" si="4"/>
        <v>0</v>
      </c>
      <c r="R55" s="706"/>
    </row>
    <row r="56" spans="1:18" ht="15" hidden="1" customHeight="1" x14ac:dyDescent="0.25">
      <c r="A56" s="172"/>
      <c r="B56" s="172"/>
      <c r="C56" s="188"/>
      <c r="D56" s="186" t="s">
        <v>367</v>
      </c>
      <c r="E56" s="151">
        <v>2</v>
      </c>
      <c r="F56" s="151">
        <v>131128</v>
      </c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>
        <f t="shared" si="4"/>
        <v>0</v>
      </c>
      <c r="R56" s="706"/>
    </row>
    <row r="57" spans="1:18" ht="14.1" hidden="1" customHeight="1" x14ac:dyDescent="0.25">
      <c r="A57" s="172"/>
      <c r="B57" s="172"/>
      <c r="C57" s="188"/>
      <c r="D57" s="206" t="s">
        <v>368</v>
      </c>
      <c r="E57" s="207"/>
      <c r="F57" s="207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706"/>
    </row>
    <row r="58" spans="1:18" ht="24.9" hidden="1" customHeight="1" x14ac:dyDescent="0.25">
      <c r="A58" s="172"/>
      <c r="B58" s="172"/>
      <c r="C58" s="188"/>
      <c r="D58" s="205" t="s">
        <v>369</v>
      </c>
      <c r="E58" s="208"/>
      <c r="F58" s="208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  <c r="R58" s="706"/>
    </row>
    <row r="59" spans="1:18" ht="15" hidden="1" customHeight="1" x14ac:dyDescent="0.25">
      <c r="A59" s="172"/>
      <c r="B59" s="172"/>
      <c r="C59" s="188"/>
      <c r="D59" s="186" t="s">
        <v>370</v>
      </c>
      <c r="E59" s="151">
        <v>2</v>
      </c>
      <c r="F59" s="151">
        <v>131201</v>
      </c>
      <c r="G59" s="151"/>
      <c r="H59" s="177"/>
      <c r="I59" s="177"/>
      <c r="J59" s="151"/>
      <c r="K59" s="151"/>
      <c r="L59" s="151"/>
      <c r="M59" s="151"/>
      <c r="N59" s="151"/>
      <c r="O59" s="151"/>
      <c r="P59" s="151"/>
      <c r="Q59" s="151">
        <f t="shared" ref="Q59:Q64" si="5">SUM(G59:P59)</f>
        <v>0</v>
      </c>
      <c r="R59" s="706"/>
    </row>
    <row r="60" spans="1:18" ht="15" hidden="1" customHeight="1" x14ac:dyDescent="0.25">
      <c r="A60" s="172"/>
      <c r="B60" s="172"/>
      <c r="C60" s="188"/>
      <c r="D60" s="186" t="s">
        <v>371</v>
      </c>
      <c r="E60" s="151">
        <v>2</v>
      </c>
      <c r="F60" s="151">
        <v>131202</v>
      </c>
      <c r="G60" s="151"/>
      <c r="H60" s="177"/>
      <c r="I60" s="177"/>
      <c r="J60" s="151"/>
      <c r="K60" s="151"/>
      <c r="L60" s="151"/>
      <c r="M60" s="151"/>
      <c r="N60" s="151"/>
      <c r="O60" s="151"/>
      <c r="P60" s="151"/>
      <c r="Q60" s="151">
        <f t="shared" si="5"/>
        <v>0</v>
      </c>
      <c r="R60" s="706"/>
    </row>
    <row r="61" spans="1:18" ht="15" hidden="1" customHeight="1" x14ac:dyDescent="0.25">
      <c r="A61" s="172"/>
      <c r="B61" s="172"/>
      <c r="C61" s="188"/>
      <c r="D61" s="186" t="s">
        <v>372</v>
      </c>
      <c r="E61" s="151">
        <v>2</v>
      </c>
      <c r="F61" s="151">
        <v>131205</v>
      </c>
      <c r="G61" s="151"/>
      <c r="H61" s="151"/>
      <c r="I61" s="151"/>
      <c r="J61" s="151"/>
      <c r="K61" s="151"/>
      <c r="L61" s="151"/>
      <c r="M61" s="151"/>
      <c r="N61" s="151"/>
      <c r="O61" s="151"/>
      <c r="P61" s="151"/>
      <c r="Q61" s="151">
        <f t="shared" si="5"/>
        <v>0</v>
      </c>
      <c r="R61" s="706"/>
    </row>
    <row r="62" spans="1:18" ht="15" hidden="1" customHeight="1" x14ac:dyDescent="0.25">
      <c r="A62" s="172"/>
      <c r="B62" s="172"/>
      <c r="C62" s="188"/>
      <c r="D62" s="186" t="s">
        <v>373</v>
      </c>
      <c r="E62" s="151">
        <v>2</v>
      </c>
      <c r="F62" s="151">
        <v>131206</v>
      </c>
      <c r="G62" s="151"/>
      <c r="H62" s="151"/>
      <c r="I62" s="151"/>
      <c r="J62" s="151"/>
      <c r="K62" s="151"/>
      <c r="L62" s="151"/>
      <c r="M62" s="151"/>
      <c r="N62" s="151"/>
      <c r="O62" s="151"/>
      <c r="P62" s="151"/>
      <c r="Q62" s="151">
        <f t="shared" si="5"/>
        <v>0</v>
      </c>
      <c r="R62" s="706"/>
    </row>
    <row r="63" spans="1:18" ht="15" hidden="1" customHeight="1" x14ac:dyDescent="0.25">
      <c r="A63" s="172"/>
      <c r="B63" s="172"/>
      <c r="C63" s="188"/>
      <c r="D63" s="185" t="s">
        <v>374</v>
      </c>
      <c r="E63" s="151">
        <v>2</v>
      </c>
      <c r="F63" s="151">
        <v>131209</v>
      </c>
      <c r="G63" s="151"/>
      <c r="H63" s="177"/>
      <c r="I63" s="177"/>
      <c r="J63" s="151"/>
      <c r="K63" s="151"/>
      <c r="L63" s="151"/>
      <c r="M63" s="151"/>
      <c r="N63" s="151"/>
      <c r="O63" s="151"/>
      <c r="P63" s="151"/>
      <c r="Q63" s="151">
        <f t="shared" si="5"/>
        <v>0</v>
      </c>
      <c r="R63" s="706"/>
    </row>
    <row r="64" spans="1:18" ht="15" hidden="1" customHeight="1" x14ac:dyDescent="0.25">
      <c r="A64" s="172"/>
      <c r="B64" s="172"/>
      <c r="C64" s="188"/>
      <c r="D64" s="186" t="s">
        <v>375</v>
      </c>
      <c r="E64" s="151">
        <v>2</v>
      </c>
      <c r="F64" s="151">
        <v>131211</v>
      </c>
      <c r="G64" s="151"/>
      <c r="H64" s="151"/>
      <c r="I64" s="151"/>
      <c r="J64" s="151"/>
      <c r="K64" s="151"/>
      <c r="L64" s="151"/>
      <c r="M64" s="151"/>
      <c r="N64" s="151"/>
      <c r="O64" s="151"/>
      <c r="P64" s="151"/>
      <c r="Q64" s="151">
        <f t="shared" si="5"/>
        <v>0</v>
      </c>
      <c r="R64" s="706"/>
    </row>
    <row r="65" spans="1:18" ht="14.1" hidden="1" customHeight="1" x14ac:dyDescent="0.25">
      <c r="A65" s="172"/>
      <c r="B65" s="172"/>
      <c r="C65" s="188"/>
      <c r="D65" s="186" t="s">
        <v>339</v>
      </c>
      <c r="E65" s="151"/>
      <c r="F65" s="151"/>
      <c r="G65" s="151"/>
      <c r="H65" s="151"/>
      <c r="I65" s="151"/>
      <c r="J65" s="151"/>
      <c r="K65" s="151"/>
      <c r="L65" s="151"/>
      <c r="M65" s="151"/>
      <c r="N65" s="151"/>
      <c r="O65" s="151"/>
      <c r="P65" s="151"/>
      <c r="Q65" s="151"/>
      <c r="R65" s="706"/>
    </row>
    <row r="66" spans="1:18" ht="14.1" hidden="1" customHeight="1" x14ac:dyDescent="0.25">
      <c r="A66" s="172"/>
      <c r="B66" s="172"/>
      <c r="C66" s="188"/>
      <c r="D66" s="185" t="s">
        <v>376</v>
      </c>
      <c r="E66" s="151">
        <v>2</v>
      </c>
      <c r="F66" s="151">
        <v>131101</v>
      </c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>
        <f>SUM(G66:P66)</f>
        <v>0</v>
      </c>
      <c r="R66" s="706"/>
    </row>
    <row r="67" spans="1:18" ht="14.1" hidden="1" customHeight="1" x14ac:dyDescent="0.25">
      <c r="A67" s="172"/>
      <c r="B67" s="172"/>
      <c r="C67" s="188"/>
      <c r="D67" s="185" t="s">
        <v>377</v>
      </c>
      <c r="E67" s="151"/>
      <c r="F67" s="151"/>
      <c r="G67" s="151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706"/>
    </row>
    <row r="68" spans="1:18" ht="14.1" hidden="1" customHeight="1" x14ac:dyDescent="0.25">
      <c r="A68" s="172"/>
      <c r="B68" s="172"/>
      <c r="C68" s="188"/>
      <c r="D68" s="186" t="s">
        <v>378</v>
      </c>
      <c r="E68" s="151">
        <v>2</v>
      </c>
      <c r="F68" s="151">
        <v>131120</v>
      </c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>
        <f>SUM(G68:P68)</f>
        <v>0</v>
      </c>
      <c r="R68" s="706"/>
    </row>
    <row r="69" spans="1:18" ht="14.1" customHeight="1" x14ac:dyDescent="0.25">
      <c r="A69" s="172"/>
      <c r="B69" s="172"/>
      <c r="C69" s="188"/>
      <c r="D69" s="186" t="s">
        <v>379</v>
      </c>
      <c r="E69" s="183"/>
      <c r="F69" s="183"/>
      <c r="G69" s="151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706"/>
    </row>
    <row r="70" spans="1:18" ht="14.1" customHeight="1" x14ac:dyDescent="0.25">
      <c r="A70" s="172"/>
      <c r="B70" s="172"/>
      <c r="C70" s="188"/>
      <c r="D70" s="186" t="s">
        <v>380</v>
      </c>
      <c r="E70" s="151">
        <v>2</v>
      </c>
      <c r="F70" s="151">
        <v>131346</v>
      </c>
      <c r="G70" s="151">
        <v>412</v>
      </c>
      <c r="H70" s="151">
        <v>54</v>
      </c>
      <c r="I70" s="151"/>
      <c r="J70" s="151"/>
      <c r="K70" s="151">
        <v>-466</v>
      </c>
      <c r="L70" s="151"/>
      <c r="M70" s="151"/>
      <c r="N70" s="151"/>
      <c r="O70" s="151"/>
      <c r="P70" s="151"/>
      <c r="Q70" s="151">
        <f t="shared" ref="Q70:Q84" si="6">SUM(G70:P70)</f>
        <v>0</v>
      </c>
      <c r="R70" s="706" t="s">
        <v>1295</v>
      </c>
    </row>
    <row r="71" spans="1:18" ht="14.1" hidden="1" customHeight="1" x14ac:dyDescent="0.25">
      <c r="A71" s="172"/>
      <c r="B71" s="172"/>
      <c r="C71" s="188"/>
      <c r="D71" s="186" t="s">
        <v>381</v>
      </c>
      <c r="E71" s="151">
        <v>2</v>
      </c>
      <c r="F71" s="151">
        <v>131305</v>
      </c>
      <c r="G71" s="151"/>
      <c r="H71" s="151"/>
      <c r="I71" s="151"/>
      <c r="J71" s="151"/>
      <c r="K71" s="151"/>
      <c r="L71" s="151"/>
      <c r="M71" s="151"/>
      <c r="N71" s="151"/>
      <c r="O71" s="151"/>
      <c r="P71" s="151"/>
      <c r="Q71" s="151">
        <f t="shared" si="6"/>
        <v>0</v>
      </c>
      <c r="R71" s="706"/>
    </row>
    <row r="72" spans="1:18" ht="14.1" hidden="1" customHeight="1" x14ac:dyDescent="0.25">
      <c r="A72" s="172"/>
      <c r="B72" s="172"/>
      <c r="C72" s="188"/>
      <c r="D72" s="186" t="s">
        <v>382</v>
      </c>
      <c r="E72" s="151">
        <v>2</v>
      </c>
      <c r="F72" s="151">
        <v>131306</v>
      </c>
      <c r="G72" s="151"/>
      <c r="H72" s="151"/>
      <c r="I72" s="151"/>
      <c r="J72" s="151"/>
      <c r="K72" s="151"/>
      <c r="L72" s="151"/>
      <c r="M72" s="151"/>
      <c r="N72" s="151"/>
      <c r="O72" s="151"/>
      <c r="P72" s="151"/>
      <c r="Q72" s="151">
        <f t="shared" si="6"/>
        <v>0</v>
      </c>
      <c r="R72" s="706"/>
    </row>
    <row r="73" spans="1:18" ht="14.1" hidden="1" customHeight="1" x14ac:dyDescent="0.25">
      <c r="A73" s="172"/>
      <c r="B73" s="172"/>
      <c r="C73" s="188"/>
      <c r="D73" s="193" t="s">
        <v>383</v>
      </c>
      <c r="E73" s="151">
        <v>2</v>
      </c>
      <c r="F73" s="151">
        <v>131325</v>
      </c>
      <c r="G73" s="151"/>
      <c r="H73" s="151"/>
      <c r="I73" s="151"/>
      <c r="J73" s="151"/>
      <c r="K73" s="151"/>
      <c r="L73" s="151"/>
      <c r="M73" s="151"/>
      <c r="N73" s="151"/>
      <c r="O73" s="151"/>
      <c r="P73" s="151"/>
      <c r="Q73" s="151">
        <f t="shared" si="6"/>
        <v>0</v>
      </c>
      <c r="R73" s="706"/>
    </row>
    <row r="74" spans="1:18" ht="14.1" hidden="1" customHeight="1" x14ac:dyDescent="0.25">
      <c r="A74" s="172"/>
      <c r="B74" s="172"/>
      <c r="C74" s="188"/>
      <c r="D74" s="193" t="s">
        <v>863</v>
      </c>
      <c r="E74" s="151">
        <v>2</v>
      </c>
      <c r="F74" s="151">
        <v>131321</v>
      </c>
      <c r="G74" s="151"/>
      <c r="H74" s="151"/>
      <c r="I74" s="151"/>
      <c r="J74" s="151"/>
      <c r="K74" s="151"/>
      <c r="L74" s="151"/>
      <c r="M74" s="151"/>
      <c r="N74" s="151"/>
      <c r="O74" s="151"/>
      <c r="P74" s="151"/>
      <c r="Q74" s="151">
        <f t="shared" si="6"/>
        <v>0</v>
      </c>
      <c r="R74" s="706"/>
    </row>
    <row r="75" spans="1:18" ht="23.25" hidden="1" customHeight="1" x14ac:dyDescent="0.25">
      <c r="A75" s="172"/>
      <c r="B75" s="172"/>
      <c r="C75" s="188"/>
      <c r="D75" s="193" t="s">
        <v>384</v>
      </c>
      <c r="E75" s="151">
        <v>2</v>
      </c>
      <c r="F75" s="151">
        <v>131313</v>
      </c>
      <c r="G75" s="151"/>
      <c r="H75" s="151"/>
      <c r="I75" s="151"/>
      <c r="J75" s="151"/>
      <c r="K75" s="151"/>
      <c r="L75" s="151"/>
      <c r="M75" s="151"/>
      <c r="N75" s="151"/>
      <c r="O75" s="151"/>
      <c r="P75" s="151"/>
      <c r="Q75" s="151">
        <f t="shared" si="6"/>
        <v>0</v>
      </c>
      <c r="R75" s="706"/>
    </row>
    <row r="76" spans="1:18" ht="14.1" hidden="1" customHeight="1" x14ac:dyDescent="0.25">
      <c r="A76" s="172"/>
      <c r="B76" s="172"/>
      <c r="C76" s="188"/>
      <c r="D76" s="205" t="s">
        <v>385</v>
      </c>
      <c r="E76" s="151">
        <v>2</v>
      </c>
      <c r="F76" s="151">
        <v>131501</v>
      </c>
      <c r="G76" s="151"/>
      <c r="H76" s="151"/>
      <c r="I76" s="151"/>
      <c r="J76" s="151"/>
      <c r="K76" s="151"/>
      <c r="L76" s="151"/>
      <c r="M76" s="151"/>
      <c r="N76" s="151"/>
      <c r="O76" s="151"/>
      <c r="P76" s="151"/>
      <c r="Q76" s="151">
        <f t="shared" si="6"/>
        <v>0</v>
      </c>
      <c r="R76" s="706"/>
    </row>
    <row r="77" spans="1:18" ht="14.1" hidden="1" customHeight="1" x14ac:dyDescent="0.25">
      <c r="A77" s="172"/>
      <c r="B77" s="172"/>
      <c r="C77" s="188"/>
      <c r="D77" s="205" t="s">
        <v>386</v>
      </c>
      <c r="E77" s="151">
        <v>2</v>
      </c>
      <c r="F77" s="151">
        <v>131307</v>
      </c>
      <c r="G77" s="151"/>
      <c r="H77" s="151"/>
      <c r="I77" s="151"/>
      <c r="J77" s="151"/>
      <c r="K77" s="151"/>
      <c r="L77" s="151"/>
      <c r="M77" s="151"/>
      <c r="N77" s="151"/>
      <c r="O77" s="151"/>
      <c r="P77" s="151"/>
      <c r="Q77" s="151">
        <f t="shared" si="6"/>
        <v>0</v>
      </c>
      <c r="R77" s="706"/>
    </row>
    <row r="78" spans="1:18" ht="15" hidden="1" customHeight="1" x14ac:dyDescent="0.25">
      <c r="A78" s="172"/>
      <c r="B78" s="172"/>
      <c r="C78" s="188"/>
      <c r="D78" s="347" t="s">
        <v>387</v>
      </c>
      <c r="E78" s="151">
        <v>2</v>
      </c>
      <c r="F78" s="151">
        <v>131340</v>
      </c>
      <c r="G78" s="151"/>
      <c r="H78" s="151"/>
      <c r="I78" s="151"/>
      <c r="J78" s="151"/>
      <c r="K78" s="151"/>
      <c r="L78" s="151"/>
      <c r="M78" s="151"/>
      <c r="N78" s="151"/>
      <c r="O78" s="151"/>
      <c r="P78" s="151"/>
      <c r="Q78" s="151">
        <f t="shared" si="6"/>
        <v>0</v>
      </c>
      <c r="R78" s="706"/>
    </row>
    <row r="79" spans="1:18" ht="15" hidden="1" customHeight="1" x14ac:dyDescent="0.25">
      <c r="A79" s="172"/>
      <c r="B79" s="172"/>
      <c r="C79" s="188"/>
      <c r="D79" s="348" t="s">
        <v>886</v>
      </c>
      <c r="E79" s="151">
        <v>2</v>
      </c>
      <c r="F79" s="151">
        <v>131343</v>
      </c>
      <c r="G79" s="151"/>
      <c r="H79" s="151"/>
      <c r="I79" s="151"/>
      <c r="J79" s="151"/>
      <c r="K79" s="151"/>
      <c r="L79" s="151"/>
      <c r="M79" s="151"/>
      <c r="N79" s="151"/>
      <c r="O79" s="151"/>
      <c r="P79" s="151"/>
      <c r="Q79" s="151">
        <f t="shared" si="6"/>
        <v>0</v>
      </c>
      <c r="R79" s="706"/>
    </row>
    <row r="80" spans="1:18" ht="15" hidden="1" customHeight="1" x14ac:dyDescent="0.25">
      <c r="A80" s="172"/>
      <c r="B80" s="172"/>
      <c r="C80" s="188"/>
      <c r="D80" s="348" t="s">
        <v>1106</v>
      </c>
      <c r="E80" s="151">
        <v>2</v>
      </c>
      <c r="F80" s="151">
        <v>131310</v>
      </c>
      <c r="G80" s="151"/>
      <c r="H80" s="151"/>
      <c r="I80" s="151"/>
      <c r="J80" s="151"/>
      <c r="K80" s="151"/>
      <c r="L80" s="151"/>
      <c r="M80" s="151"/>
      <c r="N80" s="151"/>
      <c r="O80" s="151"/>
      <c r="P80" s="151"/>
      <c r="Q80" s="151">
        <f t="shared" si="6"/>
        <v>0</v>
      </c>
      <c r="R80" s="706"/>
    </row>
    <row r="81" spans="1:18" ht="15" hidden="1" customHeight="1" x14ac:dyDescent="0.25">
      <c r="A81" s="172"/>
      <c r="B81" s="172"/>
      <c r="C81" s="188"/>
      <c r="D81" s="348" t="s">
        <v>867</v>
      </c>
      <c r="E81" s="151">
        <v>2</v>
      </c>
      <c r="F81" s="151">
        <v>131315</v>
      </c>
      <c r="G81" s="151"/>
      <c r="H81" s="151"/>
      <c r="I81" s="151"/>
      <c r="J81" s="151"/>
      <c r="K81" s="151"/>
      <c r="L81" s="151"/>
      <c r="M81" s="151"/>
      <c r="N81" s="151"/>
      <c r="O81" s="151"/>
      <c r="P81" s="151"/>
      <c r="Q81" s="151">
        <f t="shared" si="6"/>
        <v>0</v>
      </c>
      <c r="R81" s="706"/>
    </row>
    <row r="82" spans="1:18" ht="15" hidden="1" customHeight="1" x14ac:dyDescent="0.25">
      <c r="A82" s="172"/>
      <c r="B82" s="172"/>
      <c r="C82" s="188"/>
      <c r="D82" s="348" t="s">
        <v>887</v>
      </c>
      <c r="E82" s="151">
        <v>2</v>
      </c>
      <c r="F82" s="151">
        <v>131314</v>
      </c>
      <c r="G82" s="151"/>
      <c r="H82" s="151"/>
      <c r="I82" s="151"/>
      <c r="J82" s="151"/>
      <c r="K82" s="151"/>
      <c r="L82" s="151"/>
      <c r="M82" s="151"/>
      <c r="N82" s="151"/>
      <c r="O82" s="151"/>
      <c r="P82" s="151"/>
      <c r="Q82" s="151">
        <f t="shared" si="6"/>
        <v>0</v>
      </c>
      <c r="R82" s="706"/>
    </row>
    <row r="83" spans="1:18" ht="15" hidden="1" customHeight="1" x14ac:dyDescent="0.25">
      <c r="A83" s="172"/>
      <c r="B83" s="172"/>
      <c r="C83" s="188"/>
      <c r="D83" s="347" t="s">
        <v>388</v>
      </c>
      <c r="E83" s="151">
        <v>2</v>
      </c>
      <c r="F83" s="151">
        <v>131348</v>
      </c>
      <c r="G83" s="151"/>
      <c r="H83" s="151"/>
      <c r="I83" s="151"/>
      <c r="J83" s="151"/>
      <c r="K83" s="151"/>
      <c r="L83" s="151"/>
      <c r="M83" s="151"/>
      <c r="N83" s="151"/>
      <c r="O83" s="151"/>
      <c r="P83" s="151"/>
      <c r="Q83" s="151">
        <f t="shared" si="6"/>
        <v>0</v>
      </c>
      <c r="R83" s="706"/>
    </row>
    <row r="84" spans="1:18" ht="23.25" hidden="1" customHeight="1" x14ac:dyDescent="0.25">
      <c r="A84" s="172"/>
      <c r="B84" s="172"/>
      <c r="C84" s="188"/>
      <c r="D84" s="349" t="s">
        <v>389</v>
      </c>
      <c r="E84" s="151">
        <v>2</v>
      </c>
      <c r="F84" s="151">
        <v>131345</v>
      </c>
      <c r="G84" s="151"/>
      <c r="H84" s="151"/>
      <c r="I84" s="151"/>
      <c r="J84" s="151"/>
      <c r="K84" s="151"/>
      <c r="L84" s="151"/>
      <c r="M84" s="151"/>
      <c r="N84" s="151"/>
      <c r="O84" s="151"/>
      <c r="P84" s="151"/>
      <c r="Q84" s="151">
        <f t="shared" si="6"/>
        <v>0</v>
      </c>
      <c r="R84" s="706"/>
    </row>
    <row r="85" spans="1:18" ht="14.1" hidden="1" customHeight="1" x14ac:dyDescent="0.25">
      <c r="A85" s="172"/>
      <c r="B85" s="172"/>
      <c r="C85" s="188"/>
      <c r="D85" s="151" t="s">
        <v>390</v>
      </c>
      <c r="E85" s="204"/>
      <c r="F85" s="183"/>
      <c r="G85" s="151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706"/>
    </row>
    <row r="86" spans="1:18" ht="24.9" hidden="1" customHeight="1" x14ac:dyDescent="0.25">
      <c r="A86" s="172"/>
      <c r="B86" s="172"/>
      <c r="C86" s="188"/>
      <c r="D86" s="193" t="s">
        <v>391</v>
      </c>
      <c r="E86" s="183">
        <v>2</v>
      </c>
      <c r="F86" s="151">
        <v>131401</v>
      </c>
      <c r="G86" s="151"/>
      <c r="H86" s="151"/>
      <c r="I86" s="151"/>
      <c r="J86" s="151"/>
      <c r="K86" s="151"/>
      <c r="L86" s="151"/>
      <c r="M86" s="151"/>
      <c r="N86" s="151"/>
      <c r="O86" s="151"/>
      <c r="P86" s="151"/>
      <c r="Q86" s="151">
        <f t="shared" ref="Q86:Q93" si="7">SUM(G86:P86)</f>
        <v>0</v>
      </c>
      <c r="R86" s="706"/>
    </row>
    <row r="87" spans="1:18" ht="14.1" hidden="1" customHeight="1" x14ac:dyDescent="0.25">
      <c r="A87" s="172"/>
      <c r="B87" s="172"/>
      <c r="C87" s="350"/>
      <c r="D87" s="351" t="s">
        <v>392</v>
      </c>
      <c r="E87" s="183">
        <v>2</v>
      </c>
      <c r="F87" s="151">
        <v>131402</v>
      </c>
      <c r="G87" s="151"/>
      <c r="H87" s="151"/>
      <c r="I87" s="151"/>
      <c r="J87" s="151"/>
      <c r="K87" s="151"/>
      <c r="L87" s="151"/>
      <c r="M87" s="151"/>
      <c r="N87" s="151"/>
      <c r="O87" s="151"/>
      <c r="P87" s="151"/>
      <c r="Q87" s="151">
        <f t="shared" si="7"/>
        <v>0</v>
      </c>
      <c r="R87" s="706"/>
    </row>
    <row r="88" spans="1:18" ht="14.1" hidden="1" customHeight="1" x14ac:dyDescent="0.25">
      <c r="A88" s="172"/>
      <c r="B88" s="172"/>
      <c r="C88" s="188"/>
      <c r="D88" s="186" t="s">
        <v>393</v>
      </c>
      <c r="E88" s="183">
        <v>2</v>
      </c>
      <c r="F88" s="151">
        <v>131403</v>
      </c>
      <c r="G88" s="151"/>
      <c r="H88" s="151"/>
      <c r="I88" s="151"/>
      <c r="J88" s="151"/>
      <c r="K88" s="151"/>
      <c r="L88" s="151"/>
      <c r="M88" s="151"/>
      <c r="N88" s="151"/>
      <c r="O88" s="151"/>
      <c r="P88" s="151"/>
      <c r="Q88" s="151">
        <f t="shared" si="7"/>
        <v>0</v>
      </c>
      <c r="R88" s="706"/>
    </row>
    <row r="89" spans="1:18" ht="14.1" hidden="1" customHeight="1" x14ac:dyDescent="0.25">
      <c r="A89" s="172"/>
      <c r="B89" s="172"/>
      <c r="C89" s="188"/>
      <c r="D89" s="186" t="s">
        <v>394</v>
      </c>
      <c r="E89" s="183">
        <v>2</v>
      </c>
      <c r="F89" s="151">
        <v>131404</v>
      </c>
      <c r="G89" s="151"/>
      <c r="H89" s="151"/>
      <c r="I89" s="151"/>
      <c r="J89" s="151"/>
      <c r="K89" s="151"/>
      <c r="L89" s="151"/>
      <c r="M89" s="151"/>
      <c r="N89" s="151"/>
      <c r="O89" s="151"/>
      <c r="P89" s="151"/>
      <c r="Q89" s="151">
        <f t="shared" si="7"/>
        <v>0</v>
      </c>
      <c r="R89" s="706"/>
    </row>
    <row r="90" spans="1:18" ht="14.1" hidden="1" customHeight="1" x14ac:dyDescent="0.25">
      <c r="A90" s="172"/>
      <c r="B90" s="172"/>
      <c r="C90" s="188"/>
      <c r="D90" s="186" t="s">
        <v>395</v>
      </c>
      <c r="E90" s="183">
        <v>2</v>
      </c>
      <c r="F90" s="151">
        <v>131330</v>
      </c>
      <c r="G90" s="151"/>
      <c r="H90" s="151"/>
      <c r="I90" s="151"/>
      <c r="J90" s="151"/>
      <c r="K90" s="151"/>
      <c r="L90" s="151"/>
      <c r="M90" s="151"/>
      <c r="N90" s="151"/>
      <c r="O90" s="151"/>
      <c r="P90" s="151"/>
      <c r="Q90" s="151">
        <f t="shared" si="7"/>
        <v>0</v>
      </c>
      <c r="R90" s="706"/>
    </row>
    <row r="91" spans="1:18" ht="14.1" hidden="1" customHeight="1" x14ac:dyDescent="0.25">
      <c r="A91" s="172"/>
      <c r="B91" s="172"/>
      <c r="C91" s="188"/>
      <c r="D91" s="186" t="s">
        <v>396</v>
      </c>
      <c r="E91" s="183">
        <v>2</v>
      </c>
      <c r="F91" s="151">
        <v>131507</v>
      </c>
      <c r="G91" s="151"/>
      <c r="H91" s="151"/>
      <c r="I91" s="151"/>
      <c r="J91" s="151"/>
      <c r="K91" s="151"/>
      <c r="L91" s="151"/>
      <c r="M91" s="151"/>
      <c r="N91" s="151"/>
      <c r="O91" s="151"/>
      <c r="P91" s="151"/>
      <c r="Q91" s="151">
        <f t="shared" si="7"/>
        <v>0</v>
      </c>
      <c r="R91" s="706"/>
    </row>
    <row r="92" spans="1:18" ht="14.1" hidden="1" customHeight="1" x14ac:dyDescent="0.25">
      <c r="A92" s="172"/>
      <c r="B92" s="172"/>
      <c r="C92" s="350"/>
      <c r="D92" s="510" t="s">
        <v>397</v>
      </c>
      <c r="E92" s="183">
        <v>2</v>
      </c>
      <c r="F92" s="151">
        <v>171943</v>
      </c>
      <c r="G92" s="151"/>
      <c r="H92" s="151"/>
      <c r="I92" s="151"/>
      <c r="J92" s="151"/>
      <c r="K92" s="151"/>
      <c r="L92" s="151"/>
      <c r="M92" s="151"/>
      <c r="N92" s="151"/>
      <c r="O92" s="151"/>
      <c r="P92" s="151"/>
      <c r="Q92" s="151">
        <f t="shared" si="7"/>
        <v>0</v>
      </c>
      <c r="R92" s="706"/>
    </row>
    <row r="93" spans="1:18" ht="14.1" hidden="1" customHeight="1" x14ac:dyDescent="0.25">
      <c r="A93" s="507"/>
      <c r="B93" s="507"/>
      <c r="C93" s="512"/>
      <c r="D93" s="510" t="s">
        <v>1102</v>
      </c>
      <c r="E93" s="509">
        <v>2</v>
      </c>
      <c r="F93" s="510">
        <v>131409</v>
      </c>
      <c r="G93" s="510"/>
      <c r="H93" s="510"/>
      <c r="I93" s="510"/>
      <c r="J93" s="510"/>
      <c r="K93" s="510"/>
      <c r="L93" s="510"/>
      <c r="M93" s="510"/>
      <c r="N93" s="510"/>
      <c r="O93" s="510"/>
      <c r="P93" s="510"/>
      <c r="Q93" s="510">
        <f t="shared" si="7"/>
        <v>0</v>
      </c>
      <c r="R93" s="706"/>
    </row>
    <row r="94" spans="1:18" ht="14.1" hidden="1" customHeight="1" x14ac:dyDescent="0.25">
      <c r="A94" s="172"/>
      <c r="B94" s="172"/>
      <c r="C94" s="188"/>
      <c r="D94" s="205" t="s">
        <v>398</v>
      </c>
      <c r="E94" s="208"/>
      <c r="F94" s="208"/>
      <c r="G94" s="151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706"/>
    </row>
    <row r="95" spans="1:18" ht="14.1" hidden="1" customHeight="1" x14ac:dyDescent="0.25">
      <c r="A95" s="172"/>
      <c r="B95" s="172"/>
      <c r="C95" s="188"/>
      <c r="D95" s="205" t="s">
        <v>399</v>
      </c>
      <c r="E95" s="209">
        <v>2</v>
      </c>
      <c r="F95" s="210">
        <v>131502</v>
      </c>
      <c r="G95" s="151"/>
      <c r="H95" s="151"/>
      <c r="I95" s="151"/>
      <c r="J95" s="151"/>
      <c r="K95" s="151"/>
      <c r="L95" s="151"/>
      <c r="M95" s="151"/>
      <c r="N95" s="151"/>
      <c r="O95" s="151"/>
      <c r="P95" s="151"/>
      <c r="Q95" s="151">
        <f>SUM(G95:P95)</f>
        <v>0</v>
      </c>
      <c r="R95" s="706"/>
    </row>
    <row r="96" spans="1:18" ht="14.1" hidden="1" customHeight="1" x14ac:dyDescent="0.25">
      <c r="A96" s="172"/>
      <c r="B96" s="172"/>
      <c r="C96" s="188"/>
      <c r="D96" s="193" t="s">
        <v>1021</v>
      </c>
      <c r="E96" s="209">
        <v>2</v>
      </c>
      <c r="F96" s="210">
        <v>131304</v>
      </c>
      <c r="G96" s="151"/>
      <c r="H96" s="151"/>
      <c r="I96" s="151"/>
      <c r="J96" s="151"/>
      <c r="K96" s="151"/>
      <c r="L96" s="151"/>
      <c r="M96" s="151"/>
      <c r="N96" s="151"/>
      <c r="O96" s="151"/>
      <c r="P96" s="151"/>
      <c r="Q96" s="151">
        <f t="shared" ref="Q96:Q99" si="8">SUM(G96:P96)</f>
        <v>0</v>
      </c>
      <c r="R96" s="706"/>
    </row>
    <row r="97" spans="1:18" ht="25.5" hidden="1" customHeight="1" x14ac:dyDescent="0.25">
      <c r="A97" s="172"/>
      <c r="B97" s="172"/>
      <c r="C97" s="188"/>
      <c r="D97" s="193" t="s">
        <v>1022</v>
      </c>
      <c r="E97" s="209">
        <v>2</v>
      </c>
      <c r="F97" s="475">
        <v>131867</v>
      </c>
      <c r="G97" s="151"/>
      <c r="H97" s="151"/>
      <c r="I97" s="151"/>
      <c r="J97" s="151"/>
      <c r="K97" s="151"/>
      <c r="L97" s="151"/>
      <c r="M97" s="151"/>
      <c r="N97" s="151"/>
      <c r="O97" s="151"/>
      <c r="P97" s="151"/>
      <c r="Q97" s="151">
        <f t="shared" si="8"/>
        <v>0</v>
      </c>
      <c r="R97" s="706"/>
    </row>
    <row r="98" spans="1:18" ht="21.75" hidden="1" customHeight="1" x14ac:dyDescent="0.25">
      <c r="A98" s="172"/>
      <c r="B98" s="172"/>
      <c r="C98" s="188"/>
      <c r="D98" s="193" t="s">
        <v>1023</v>
      </c>
      <c r="E98" s="209">
        <v>2</v>
      </c>
      <c r="F98" s="475">
        <v>131868</v>
      </c>
      <c r="G98" s="151"/>
      <c r="H98" s="151"/>
      <c r="I98" s="151"/>
      <c r="J98" s="151"/>
      <c r="K98" s="151"/>
      <c r="L98" s="151"/>
      <c r="M98" s="151"/>
      <c r="N98" s="151"/>
      <c r="O98" s="151"/>
      <c r="P98" s="151"/>
      <c r="Q98" s="151">
        <f t="shared" si="8"/>
        <v>0</v>
      </c>
      <c r="R98" s="706"/>
    </row>
    <row r="99" spans="1:18" ht="24.75" hidden="1" customHeight="1" x14ac:dyDescent="0.25">
      <c r="A99" s="172"/>
      <c r="B99" s="172"/>
      <c r="C99" s="188"/>
      <c r="D99" s="193" t="s">
        <v>1024</v>
      </c>
      <c r="E99" s="209">
        <v>2</v>
      </c>
      <c r="F99" s="210">
        <v>131328</v>
      </c>
      <c r="G99" s="151"/>
      <c r="H99" s="151"/>
      <c r="I99" s="151"/>
      <c r="J99" s="151"/>
      <c r="K99" s="151"/>
      <c r="L99" s="151"/>
      <c r="M99" s="151"/>
      <c r="N99" s="151"/>
      <c r="O99" s="151"/>
      <c r="P99" s="151"/>
      <c r="Q99" s="151">
        <f t="shared" si="8"/>
        <v>0</v>
      </c>
      <c r="R99" s="706"/>
    </row>
    <row r="100" spans="1:18" ht="15" hidden="1" customHeight="1" x14ac:dyDescent="0.25">
      <c r="A100" s="172"/>
      <c r="B100" s="172"/>
      <c r="C100" s="188"/>
      <c r="D100" s="423" t="s">
        <v>870</v>
      </c>
      <c r="E100" s="476"/>
      <c r="F100" s="210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706"/>
    </row>
    <row r="101" spans="1:18" ht="22.5" hidden="1" customHeight="1" x14ac:dyDescent="0.25">
      <c r="A101" s="172"/>
      <c r="B101" s="172"/>
      <c r="C101" s="188"/>
      <c r="D101" s="205" t="s">
        <v>888</v>
      </c>
      <c r="E101" s="476">
        <v>1</v>
      </c>
      <c r="F101" s="210">
        <v>131508</v>
      </c>
      <c r="G101" s="151"/>
      <c r="H101" s="151"/>
      <c r="I101" s="151"/>
      <c r="J101" s="151"/>
      <c r="K101" s="151"/>
      <c r="L101" s="151"/>
      <c r="M101" s="151"/>
      <c r="N101" s="151"/>
      <c r="O101" s="151"/>
      <c r="P101" s="151"/>
      <c r="Q101" s="151">
        <f>SUM(G101:P101)</f>
        <v>0</v>
      </c>
      <c r="R101" s="706"/>
    </row>
    <row r="102" spans="1:18" ht="14.1" hidden="1" customHeight="1" x14ac:dyDescent="0.25">
      <c r="A102" s="172"/>
      <c r="B102" s="172"/>
      <c r="C102" s="188"/>
      <c r="D102" s="205" t="s">
        <v>889</v>
      </c>
      <c r="E102" s="476">
        <v>1</v>
      </c>
      <c r="F102" s="210">
        <v>131509</v>
      </c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>
        <f>SUM(G102:P102)</f>
        <v>0</v>
      </c>
      <c r="R102" s="706"/>
    </row>
    <row r="103" spans="1:18" ht="14.1" hidden="1" customHeight="1" x14ac:dyDescent="0.25">
      <c r="A103" s="172"/>
      <c r="B103" s="172"/>
      <c r="C103" s="188"/>
      <c r="D103" s="278" t="s">
        <v>400</v>
      </c>
      <c r="E103" s="353"/>
      <c r="F103" s="354"/>
      <c r="G103" s="151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  <c r="R103" s="706"/>
    </row>
    <row r="104" spans="1:18" ht="14.1" hidden="1" customHeight="1" x14ac:dyDescent="0.25">
      <c r="A104" s="172"/>
      <c r="B104" s="172"/>
      <c r="C104" s="188"/>
      <c r="D104" s="184" t="s">
        <v>401</v>
      </c>
      <c r="E104" s="204"/>
      <c r="F104" s="183"/>
      <c r="G104" s="151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706"/>
    </row>
    <row r="105" spans="1:18" ht="14.1" hidden="1" customHeight="1" x14ac:dyDescent="0.25">
      <c r="A105" s="172"/>
      <c r="B105" s="172"/>
      <c r="C105" s="188"/>
      <c r="D105" s="182" t="s">
        <v>402</v>
      </c>
      <c r="E105" s="183">
        <v>1</v>
      </c>
      <c r="F105" s="151">
        <v>131703</v>
      </c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>
        <f>SUM(G105:P105)</f>
        <v>0</v>
      </c>
      <c r="R105" s="706"/>
    </row>
    <row r="106" spans="1:18" ht="15" hidden="1" customHeight="1" x14ac:dyDescent="0.25">
      <c r="A106" s="172"/>
      <c r="B106" s="172"/>
      <c r="C106" s="188"/>
      <c r="D106" s="185" t="s">
        <v>403</v>
      </c>
      <c r="E106" s="183">
        <v>1</v>
      </c>
      <c r="F106" s="151">
        <v>121319</v>
      </c>
      <c r="G106" s="151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>
        <f>SUM(G106:P106)</f>
        <v>0</v>
      </c>
      <c r="R106" s="706"/>
    </row>
    <row r="107" spans="1:18" ht="27" hidden="1" customHeight="1" x14ac:dyDescent="0.25">
      <c r="A107" s="172"/>
      <c r="B107" s="172"/>
      <c r="C107" s="188"/>
      <c r="D107" s="355" t="s">
        <v>404</v>
      </c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706"/>
    </row>
    <row r="108" spans="1:18" ht="16.5" hidden="1" customHeight="1" x14ac:dyDescent="0.25">
      <c r="A108" s="172"/>
      <c r="B108" s="172"/>
      <c r="C108" s="188"/>
      <c r="D108" s="355" t="s">
        <v>405</v>
      </c>
      <c r="E108" s="151">
        <v>2</v>
      </c>
      <c r="F108" s="151">
        <v>131506</v>
      </c>
      <c r="G108" s="151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>
        <f>SUM(G108:P108)</f>
        <v>0</v>
      </c>
      <c r="R108" s="706"/>
    </row>
    <row r="109" spans="1:18" ht="15" hidden="1" customHeight="1" x14ac:dyDescent="0.25">
      <c r="A109" s="172"/>
      <c r="B109" s="172"/>
      <c r="C109" s="188"/>
      <c r="D109" s="186" t="s">
        <v>406</v>
      </c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  <c r="R109" s="706"/>
    </row>
    <row r="110" spans="1:18" ht="15" hidden="1" customHeight="1" x14ac:dyDescent="0.25">
      <c r="A110" s="172"/>
      <c r="B110" s="172"/>
      <c r="C110" s="188"/>
      <c r="D110" s="186" t="s">
        <v>869</v>
      </c>
      <c r="E110" s="151">
        <v>2</v>
      </c>
      <c r="F110" s="151">
        <v>131707</v>
      </c>
      <c r="G110" s="151"/>
      <c r="H110" s="151"/>
      <c r="I110" s="151"/>
      <c r="J110" s="151"/>
      <c r="K110" s="151"/>
      <c r="L110" s="151"/>
      <c r="M110" s="151"/>
      <c r="N110" s="151"/>
      <c r="O110" s="151"/>
      <c r="P110" s="151"/>
      <c r="Q110" s="151">
        <f>SUM(G110:P110)</f>
        <v>0</v>
      </c>
      <c r="R110" s="706"/>
    </row>
    <row r="111" spans="1:18" ht="15" hidden="1" customHeight="1" x14ac:dyDescent="0.25">
      <c r="A111" s="172"/>
      <c r="B111" s="172"/>
      <c r="C111" s="188"/>
      <c r="D111" s="186" t="s">
        <v>407</v>
      </c>
      <c r="E111" s="151">
        <v>2</v>
      </c>
      <c r="F111" s="151">
        <v>131713</v>
      </c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>
        <f>SUM(G111:P111)</f>
        <v>0</v>
      </c>
      <c r="R111" s="706"/>
    </row>
    <row r="112" spans="1:18" ht="16.5" hidden="1" customHeight="1" x14ac:dyDescent="0.25">
      <c r="A112" s="172"/>
      <c r="B112" s="172"/>
      <c r="C112" s="188"/>
      <c r="D112" s="193" t="s">
        <v>349</v>
      </c>
      <c r="E112" s="208"/>
      <c r="F112" s="208"/>
      <c r="G112" s="151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  <c r="R112" s="706"/>
    </row>
    <row r="113" spans="1:18" ht="15" hidden="1" customHeight="1" x14ac:dyDescent="0.25">
      <c r="A113" s="172"/>
      <c r="B113" s="172"/>
      <c r="C113" s="188"/>
      <c r="D113" s="186" t="s">
        <v>408</v>
      </c>
      <c r="E113" s="183">
        <v>2</v>
      </c>
      <c r="F113" s="151">
        <v>131706</v>
      </c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>
        <f>SUM(G113:P113)</f>
        <v>0</v>
      </c>
      <c r="R113" s="706"/>
    </row>
    <row r="114" spans="1:18" ht="15" hidden="1" customHeight="1" x14ac:dyDescent="0.25">
      <c r="A114" s="172"/>
      <c r="B114" s="172"/>
      <c r="C114" s="188"/>
      <c r="D114" s="186" t="s">
        <v>409</v>
      </c>
      <c r="E114" s="183">
        <v>2</v>
      </c>
      <c r="F114" s="151">
        <v>131712</v>
      </c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>
        <f>SUM(G114:P114)</f>
        <v>0</v>
      </c>
      <c r="R114" s="706"/>
    </row>
    <row r="115" spans="1:18" ht="15" hidden="1" customHeight="1" x14ac:dyDescent="0.25">
      <c r="A115" s="172"/>
      <c r="B115" s="172"/>
      <c r="C115" s="188"/>
      <c r="D115" s="193" t="s">
        <v>410</v>
      </c>
      <c r="E115" s="183">
        <v>2</v>
      </c>
      <c r="F115" s="151">
        <v>131714</v>
      </c>
      <c r="G115" s="151"/>
      <c r="H115" s="151"/>
      <c r="I115" s="151"/>
      <c r="J115" s="151"/>
      <c r="K115" s="151"/>
      <c r="L115" s="151"/>
      <c r="M115" s="151"/>
      <c r="N115" s="151"/>
      <c r="O115" s="151"/>
      <c r="P115" s="151"/>
      <c r="Q115" s="151">
        <f>SUM(G115:P115)</f>
        <v>0</v>
      </c>
      <c r="R115" s="706"/>
    </row>
    <row r="116" spans="1:18" ht="25.5" hidden="1" customHeight="1" x14ac:dyDescent="0.25">
      <c r="A116" s="172"/>
      <c r="B116" s="172"/>
      <c r="C116" s="188"/>
      <c r="D116" s="193" t="s">
        <v>890</v>
      </c>
      <c r="E116" s="183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  <c r="R116" s="706"/>
    </row>
    <row r="117" spans="1:18" ht="15" hidden="1" customHeight="1" x14ac:dyDescent="0.25">
      <c r="A117" s="172"/>
      <c r="B117" s="172"/>
      <c r="C117" s="188"/>
      <c r="D117" s="193" t="s">
        <v>891</v>
      </c>
      <c r="E117" s="183">
        <v>1</v>
      </c>
      <c r="F117" s="151">
        <v>131716</v>
      </c>
      <c r="G117" s="151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>
        <f>SUM(G117:P117)</f>
        <v>0</v>
      </c>
      <c r="R117" s="706"/>
    </row>
    <row r="118" spans="1:18" ht="15" hidden="1" customHeight="1" x14ac:dyDescent="0.25">
      <c r="A118" s="172"/>
      <c r="B118" s="172"/>
      <c r="C118" s="188"/>
      <c r="D118" s="151" t="s">
        <v>390</v>
      </c>
      <c r="E118" s="204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  <c r="R118" s="706"/>
    </row>
    <row r="119" spans="1:18" ht="15" hidden="1" customHeight="1" x14ac:dyDescent="0.25">
      <c r="A119" s="172"/>
      <c r="B119" s="172"/>
      <c r="C119" s="188"/>
      <c r="D119" s="186" t="s">
        <v>411</v>
      </c>
      <c r="E119" s="183">
        <v>2</v>
      </c>
      <c r="F119" s="151">
        <v>128901</v>
      </c>
      <c r="G119" s="151"/>
      <c r="H119" s="151"/>
      <c r="I119" s="151"/>
      <c r="J119" s="151"/>
      <c r="K119" s="151"/>
      <c r="L119" s="151"/>
      <c r="M119" s="151"/>
      <c r="N119" s="151"/>
      <c r="O119" s="151"/>
      <c r="P119" s="151"/>
      <c r="Q119" s="151">
        <f>SUM(G119:P119)</f>
        <v>0</v>
      </c>
      <c r="R119" s="706"/>
    </row>
    <row r="120" spans="1:18" ht="15" hidden="1" customHeight="1" x14ac:dyDescent="0.25">
      <c r="A120" s="507"/>
      <c r="B120" s="507"/>
      <c r="C120" s="508"/>
      <c r="D120" s="186" t="s">
        <v>802</v>
      </c>
      <c r="E120" s="151"/>
      <c r="F120" s="151"/>
      <c r="G120" s="151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706"/>
    </row>
    <row r="121" spans="1:18" ht="15" hidden="1" customHeight="1" x14ac:dyDescent="0.25">
      <c r="A121" s="507"/>
      <c r="B121" s="507"/>
      <c r="C121" s="508"/>
      <c r="D121" s="566" t="s">
        <v>803</v>
      </c>
      <c r="E121" s="151">
        <v>2</v>
      </c>
      <c r="F121" s="151">
        <v>191401</v>
      </c>
      <c r="G121" s="151"/>
      <c r="H121" s="151"/>
      <c r="I121" s="151"/>
      <c r="J121" s="151"/>
      <c r="K121" s="151"/>
      <c r="L121" s="151"/>
      <c r="M121" s="151"/>
      <c r="N121" s="151"/>
      <c r="O121" s="151"/>
      <c r="P121" s="151"/>
      <c r="Q121" s="151">
        <f>SUM(G121:P121)</f>
        <v>0</v>
      </c>
      <c r="R121" s="706"/>
    </row>
    <row r="122" spans="1:18" ht="15" customHeight="1" x14ac:dyDescent="0.25">
      <c r="A122" s="172"/>
      <c r="B122" s="172"/>
      <c r="C122" s="188"/>
      <c r="D122" s="218" t="s">
        <v>412</v>
      </c>
      <c r="E122" s="151"/>
      <c r="F122" s="151"/>
      <c r="G122" s="151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  <c r="R122" s="706"/>
    </row>
    <row r="123" spans="1:18" ht="15" hidden="1" customHeight="1" x14ac:dyDescent="0.25">
      <c r="A123" s="172"/>
      <c r="B123" s="172"/>
      <c r="C123" s="188"/>
      <c r="D123" s="185" t="s">
        <v>413</v>
      </c>
      <c r="E123" s="183"/>
      <c r="F123" s="183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  <c r="R123" s="706"/>
    </row>
    <row r="124" spans="1:18" ht="15" hidden="1" customHeight="1" x14ac:dyDescent="0.25">
      <c r="A124" s="172"/>
      <c r="B124" s="172"/>
      <c r="C124" s="188"/>
      <c r="D124" s="186" t="s">
        <v>1251</v>
      </c>
      <c r="E124" s="151">
        <v>2</v>
      </c>
      <c r="F124" s="151">
        <v>131803</v>
      </c>
      <c r="G124" s="151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>
        <f>SUM(G124:P124)</f>
        <v>0</v>
      </c>
      <c r="R124" s="706"/>
    </row>
    <row r="125" spans="1:18" ht="15" hidden="1" customHeight="1" x14ac:dyDescent="0.25">
      <c r="A125" s="172"/>
      <c r="B125" s="172"/>
      <c r="C125" s="188"/>
      <c r="D125" s="186" t="s">
        <v>414</v>
      </c>
      <c r="E125" s="151">
        <v>2</v>
      </c>
      <c r="F125" s="151">
        <v>131804</v>
      </c>
      <c r="G125" s="151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>
        <f>SUM(G125:P125)</f>
        <v>0</v>
      </c>
      <c r="R125" s="706"/>
    </row>
    <row r="126" spans="1:18" ht="15" hidden="1" customHeight="1" x14ac:dyDescent="0.25">
      <c r="A126" s="172"/>
      <c r="B126" s="172"/>
      <c r="C126" s="188"/>
      <c r="D126" s="186" t="s">
        <v>415</v>
      </c>
      <c r="E126" s="151">
        <v>2</v>
      </c>
      <c r="F126" s="151">
        <v>131805</v>
      </c>
      <c r="G126" s="151"/>
      <c r="H126" s="151"/>
      <c r="I126" s="151"/>
      <c r="J126" s="151"/>
      <c r="K126" s="151"/>
      <c r="L126" s="151"/>
      <c r="M126" s="151"/>
      <c r="N126" s="151"/>
      <c r="O126" s="151"/>
      <c r="P126" s="151"/>
      <c r="Q126" s="151">
        <f>SUM(G126:P126)</f>
        <v>0</v>
      </c>
      <c r="R126" s="706"/>
    </row>
    <row r="127" spans="1:18" ht="15" hidden="1" customHeight="1" x14ac:dyDescent="0.25">
      <c r="A127" s="172"/>
      <c r="B127" s="172"/>
      <c r="C127" s="188"/>
      <c r="D127" s="185" t="s">
        <v>416</v>
      </c>
      <c r="E127" s="183"/>
      <c r="F127" s="183"/>
      <c r="G127" s="151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  <c r="R127" s="706"/>
    </row>
    <row r="128" spans="1:18" ht="15" hidden="1" customHeight="1" x14ac:dyDescent="0.25">
      <c r="A128" s="172"/>
      <c r="B128" s="172"/>
      <c r="C128" s="188"/>
      <c r="D128" s="186" t="s">
        <v>417</v>
      </c>
      <c r="E128" s="183">
        <v>1</v>
      </c>
      <c r="F128" s="151">
        <v>131808</v>
      </c>
      <c r="G128" s="151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>
        <f>SUM(G128:P128)</f>
        <v>0</v>
      </c>
      <c r="R128" s="706"/>
    </row>
    <row r="129" spans="1:18" ht="15" hidden="1" customHeight="1" x14ac:dyDescent="0.25">
      <c r="A129" s="172"/>
      <c r="B129" s="172"/>
      <c r="C129" s="188"/>
      <c r="D129" s="186" t="s">
        <v>418</v>
      </c>
      <c r="E129" s="151">
        <v>1</v>
      </c>
      <c r="F129" s="151">
        <v>131807</v>
      </c>
      <c r="G129" s="151"/>
      <c r="H129" s="151"/>
      <c r="I129" s="151"/>
      <c r="J129" s="151"/>
      <c r="K129" s="151"/>
      <c r="L129" s="151"/>
      <c r="M129" s="151"/>
      <c r="N129" s="151"/>
      <c r="O129" s="151"/>
      <c r="P129" s="151"/>
      <c r="Q129" s="151">
        <f>SUM(G129:P129)</f>
        <v>0</v>
      </c>
      <c r="R129" s="706"/>
    </row>
    <row r="130" spans="1:18" ht="15" hidden="1" customHeight="1" x14ac:dyDescent="0.25">
      <c r="A130" s="172"/>
      <c r="B130" s="172"/>
      <c r="C130" s="188"/>
      <c r="D130" s="186" t="s">
        <v>419</v>
      </c>
      <c r="E130" s="183">
        <v>1</v>
      </c>
      <c r="F130" s="151">
        <v>131809</v>
      </c>
      <c r="G130" s="151"/>
      <c r="H130" s="151"/>
      <c r="I130" s="151"/>
      <c r="J130" s="151"/>
      <c r="K130" s="151"/>
      <c r="L130" s="151"/>
      <c r="M130" s="151"/>
      <c r="N130" s="151"/>
      <c r="O130" s="151"/>
      <c r="P130" s="151"/>
      <c r="Q130" s="151">
        <f>SUM(G130:P130)</f>
        <v>0</v>
      </c>
      <c r="R130" s="706"/>
    </row>
    <row r="131" spans="1:18" ht="15" hidden="1" customHeight="1" x14ac:dyDescent="0.25">
      <c r="A131" s="172"/>
      <c r="B131" s="172"/>
      <c r="C131" s="188"/>
      <c r="D131" s="186" t="s">
        <v>1025</v>
      </c>
      <c r="E131" s="183">
        <v>2</v>
      </c>
      <c r="F131" s="151">
        <v>131866</v>
      </c>
      <c r="G131" s="151"/>
      <c r="H131" s="151"/>
      <c r="I131" s="151"/>
      <c r="J131" s="151"/>
      <c r="K131" s="151"/>
      <c r="L131" s="151"/>
      <c r="M131" s="151"/>
      <c r="N131" s="151"/>
      <c r="O131" s="151"/>
      <c r="P131" s="151"/>
      <c r="Q131" s="151">
        <f>SUM(G131:P131)</f>
        <v>0</v>
      </c>
      <c r="R131" s="706"/>
    </row>
    <row r="132" spans="1:18" ht="15" hidden="1" customHeight="1" x14ac:dyDescent="0.25">
      <c r="A132" s="172"/>
      <c r="B132" s="172"/>
      <c r="C132" s="188"/>
      <c r="D132" s="185" t="s">
        <v>420</v>
      </c>
      <c r="E132" s="183"/>
      <c r="F132" s="183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706"/>
    </row>
    <row r="133" spans="1:18" ht="15" hidden="1" customHeight="1" x14ac:dyDescent="0.25">
      <c r="A133" s="172"/>
      <c r="B133" s="172"/>
      <c r="C133" s="188"/>
      <c r="D133" s="186" t="s">
        <v>421</v>
      </c>
      <c r="E133" s="151">
        <v>1</v>
      </c>
      <c r="F133" s="151">
        <v>131811</v>
      </c>
      <c r="G133" s="151"/>
      <c r="H133" s="151"/>
      <c r="I133" s="151"/>
      <c r="J133" s="151"/>
      <c r="K133" s="151"/>
      <c r="L133" s="151"/>
      <c r="M133" s="151"/>
      <c r="N133" s="151"/>
      <c r="O133" s="151"/>
      <c r="P133" s="151"/>
      <c r="Q133" s="151">
        <f t="shared" ref="Q133:Q141" si="9">SUM(G133:P133)</f>
        <v>0</v>
      </c>
      <c r="R133" s="706"/>
    </row>
    <row r="134" spans="1:18" ht="15" hidden="1" customHeight="1" x14ac:dyDescent="0.25">
      <c r="A134" s="172"/>
      <c r="B134" s="172"/>
      <c r="C134" s="188"/>
      <c r="D134" s="186" t="s">
        <v>422</v>
      </c>
      <c r="E134" s="151">
        <v>1</v>
      </c>
      <c r="F134" s="151">
        <v>131812</v>
      </c>
      <c r="G134" s="151"/>
      <c r="H134" s="151"/>
      <c r="I134" s="151"/>
      <c r="J134" s="151"/>
      <c r="K134" s="151"/>
      <c r="L134" s="151"/>
      <c r="M134" s="151"/>
      <c r="N134" s="151"/>
      <c r="O134" s="151"/>
      <c r="P134" s="151"/>
      <c r="Q134" s="151">
        <f t="shared" si="9"/>
        <v>0</v>
      </c>
      <c r="R134" s="706"/>
    </row>
    <row r="135" spans="1:18" ht="15" hidden="1" customHeight="1" x14ac:dyDescent="0.25">
      <c r="A135" s="172"/>
      <c r="B135" s="172"/>
      <c r="C135" s="188"/>
      <c r="D135" s="186" t="s">
        <v>423</v>
      </c>
      <c r="E135" s="151">
        <v>1</v>
      </c>
      <c r="F135" s="151">
        <v>131813</v>
      </c>
      <c r="G135" s="151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>
        <f t="shared" si="9"/>
        <v>0</v>
      </c>
      <c r="R135" s="706"/>
    </row>
    <row r="136" spans="1:18" ht="15" hidden="1" customHeight="1" x14ac:dyDescent="0.25">
      <c r="A136" s="172"/>
      <c r="B136" s="172"/>
      <c r="C136" s="188"/>
      <c r="D136" s="186" t="s">
        <v>424</v>
      </c>
      <c r="E136" s="151">
        <v>1</v>
      </c>
      <c r="F136" s="151">
        <v>131816</v>
      </c>
      <c r="G136" s="151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>
        <f t="shared" si="9"/>
        <v>0</v>
      </c>
      <c r="R136" s="706"/>
    </row>
    <row r="137" spans="1:18" ht="15" hidden="1" customHeight="1" x14ac:dyDescent="0.25">
      <c r="A137" s="172"/>
      <c r="B137" s="172"/>
      <c r="C137" s="188"/>
      <c r="D137" s="186" t="s">
        <v>425</v>
      </c>
      <c r="E137" s="151">
        <v>1</v>
      </c>
      <c r="F137" s="151">
        <v>131817</v>
      </c>
      <c r="G137" s="151"/>
      <c r="H137" s="151"/>
      <c r="I137" s="151"/>
      <c r="J137" s="151"/>
      <c r="K137" s="151"/>
      <c r="L137" s="151"/>
      <c r="M137" s="151"/>
      <c r="N137" s="151"/>
      <c r="O137" s="151"/>
      <c r="P137" s="151"/>
      <c r="Q137" s="151">
        <f t="shared" si="9"/>
        <v>0</v>
      </c>
      <c r="R137" s="706"/>
    </row>
    <row r="138" spans="1:18" ht="15" hidden="1" customHeight="1" x14ac:dyDescent="0.25">
      <c r="A138" s="172"/>
      <c r="B138" s="172"/>
      <c r="C138" s="188"/>
      <c r="D138" s="186" t="s">
        <v>426</v>
      </c>
      <c r="E138" s="151">
        <v>1</v>
      </c>
      <c r="F138" s="151">
        <v>131818</v>
      </c>
      <c r="G138" s="151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>
        <f t="shared" si="9"/>
        <v>0</v>
      </c>
      <c r="R138" s="706"/>
    </row>
    <row r="139" spans="1:18" ht="15" hidden="1" customHeight="1" x14ac:dyDescent="0.25">
      <c r="A139" s="172"/>
      <c r="B139" s="172"/>
      <c r="C139" s="188"/>
      <c r="D139" s="186" t="s">
        <v>427</v>
      </c>
      <c r="E139" s="151">
        <v>1</v>
      </c>
      <c r="F139" s="151">
        <v>131819</v>
      </c>
      <c r="G139" s="151"/>
      <c r="H139" s="151"/>
      <c r="I139" s="151"/>
      <c r="J139" s="151"/>
      <c r="K139" s="151"/>
      <c r="L139" s="151"/>
      <c r="M139" s="151"/>
      <c r="N139" s="151"/>
      <c r="O139" s="151"/>
      <c r="P139" s="151"/>
      <c r="Q139" s="151">
        <f t="shared" si="9"/>
        <v>0</v>
      </c>
      <c r="R139" s="706"/>
    </row>
    <row r="140" spans="1:18" ht="15" hidden="1" customHeight="1" x14ac:dyDescent="0.25">
      <c r="A140" s="172"/>
      <c r="B140" s="172"/>
      <c r="C140" s="188"/>
      <c r="D140" s="186" t="s">
        <v>428</v>
      </c>
      <c r="E140" s="151">
        <v>1</v>
      </c>
      <c r="F140" s="151">
        <v>131832</v>
      </c>
      <c r="G140" s="151"/>
      <c r="H140" s="151"/>
      <c r="I140" s="151"/>
      <c r="J140" s="151"/>
      <c r="K140" s="151"/>
      <c r="L140" s="151"/>
      <c r="M140" s="151"/>
      <c r="N140" s="151"/>
      <c r="O140" s="151"/>
      <c r="P140" s="151"/>
      <c r="Q140" s="151">
        <f t="shared" si="9"/>
        <v>0</v>
      </c>
      <c r="R140" s="706"/>
    </row>
    <row r="141" spans="1:18" ht="15" hidden="1" customHeight="1" x14ac:dyDescent="0.25">
      <c r="A141" s="172"/>
      <c r="B141" s="172"/>
      <c r="C141" s="188"/>
      <c r="D141" s="186" t="s">
        <v>429</v>
      </c>
      <c r="E141" s="151">
        <v>1</v>
      </c>
      <c r="F141" s="151">
        <v>131820</v>
      </c>
      <c r="G141" s="151"/>
      <c r="H141" s="151"/>
      <c r="I141" s="151"/>
      <c r="J141" s="151"/>
      <c r="K141" s="151"/>
      <c r="L141" s="151"/>
      <c r="M141" s="151"/>
      <c r="N141" s="151"/>
      <c r="O141" s="151"/>
      <c r="P141" s="151"/>
      <c r="Q141" s="151">
        <f t="shared" si="9"/>
        <v>0</v>
      </c>
      <c r="R141" s="706"/>
    </row>
    <row r="142" spans="1:18" ht="15" hidden="1" customHeight="1" x14ac:dyDescent="0.25">
      <c r="A142" s="172"/>
      <c r="B142" s="172"/>
      <c r="C142" s="188"/>
      <c r="D142" s="186" t="s">
        <v>430</v>
      </c>
      <c r="E142" s="151"/>
      <c r="F142" s="151"/>
      <c r="G142" s="151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  <c r="R142" s="706"/>
    </row>
    <row r="143" spans="1:18" ht="15" hidden="1" customHeight="1" x14ac:dyDescent="0.25">
      <c r="A143" s="172"/>
      <c r="B143" s="172"/>
      <c r="C143" s="188"/>
      <c r="D143" s="186" t="s">
        <v>431</v>
      </c>
      <c r="E143" s="183">
        <v>2</v>
      </c>
      <c r="F143" s="151">
        <v>131821</v>
      </c>
      <c r="G143" s="151"/>
      <c r="H143" s="151"/>
      <c r="I143" s="151"/>
      <c r="J143" s="151"/>
      <c r="K143" s="151"/>
      <c r="L143" s="151"/>
      <c r="M143" s="151"/>
      <c r="N143" s="151"/>
      <c r="O143" s="151"/>
      <c r="P143" s="151"/>
      <c r="Q143" s="151">
        <f t="shared" ref="Q143:Q167" si="10">SUM(G143:P143)</f>
        <v>0</v>
      </c>
      <c r="R143" s="706"/>
    </row>
    <row r="144" spans="1:18" ht="15" hidden="1" customHeight="1" x14ac:dyDescent="0.25">
      <c r="A144" s="172"/>
      <c r="B144" s="172"/>
      <c r="C144" s="188"/>
      <c r="D144" s="186" t="s">
        <v>432</v>
      </c>
      <c r="E144" s="183">
        <v>2</v>
      </c>
      <c r="F144" s="151">
        <v>131822</v>
      </c>
      <c r="G144" s="151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>
        <f t="shared" si="10"/>
        <v>0</v>
      </c>
      <c r="R144" s="706"/>
    </row>
    <row r="145" spans="1:18" ht="15" hidden="1" customHeight="1" x14ac:dyDescent="0.25">
      <c r="A145" s="172"/>
      <c r="B145" s="172"/>
      <c r="C145" s="188"/>
      <c r="D145" s="356" t="s">
        <v>433</v>
      </c>
      <c r="E145" s="357">
        <v>2</v>
      </c>
      <c r="F145" s="151">
        <v>131823</v>
      </c>
      <c r="G145" s="151"/>
      <c r="H145" s="151"/>
      <c r="I145" s="151"/>
      <c r="J145" s="151"/>
      <c r="K145" s="151"/>
      <c r="L145" s="151"/>
      <c r="M145" s="151"/>
      <c r="N145" s="151"/>
      <c r="O145" s="151"/>
      <c r="P145" s="151"/>
      <c r="Q145" s="151">
        <f t="shared" si="10"/>
        <v>0</v>
      </c>
      <c r="R145" s="706"/>
    </row>
    <row r="146" spans="1:18" ht="15" hidden="1" customHeight="1" x14ac:dyDescent="0.25">
      <c r="A146" s="172"/>
      <c r="B146" s="172"/>
      <c r="C146" s="188"/>
      <c r="D146" s="356" t="s">
        <v>434</v>
      </c>
      <c r="E146" s="211">
        <v>2</v>
      </c>
      <c r="F146" s="151">
        <v>131824</v>
      </c>
      <c r="G146" s="151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>
        <f t="shared" si="10"/>
        <v>0</v>
      </c>
      <c r="R146" s="706"/>
    </row>
    <row r="147" spans="1:18" ht="15" hidden="1" customHeight="1" x14ac:dyDescent="0.25">
      <c r="A147" s="172"/>
      <c r="B147" s="172"/>
      <c r="C147" s="188"/>
      <c r="D147" s="356" t="s">
        <v>435</v>
      </c>
      <c r="E147" s="211">
        <v>2</v>
      </c>
      <c r="F147" s="212">
        <v>131833</v>
      </c>
      <c r="G147" s="151"/>
      <c r="H147" s="151"/>
      <c r="I147" s="151"/>
      <c r="J147" s="151"/>
      <c r="K147" s="151"/>
      <c r="L147" s="151"/>
      <c r="M147" s="151"/>
      <c r="N147" s="151"/>
      <c r="O147" s="151"/>
      <c r="P147" s="151"/>
      <c r="Q147" s="151">
        <f t="shared" si="10"/>
        <v>0</v>
      </c>
      <c r="R147" s="706"/>
    </row>
    <row r="148" spans="1:18" ht="15" hidden="1" customHeight="1" x14ac:dyDescent="0.25">
      <c r="A148" s="172"/>
      <c r="B148" s="172"/>
      <c r="C148" s="188"/>
      <c r="D148" s="356" t="s">
        <v>436</v>
      </c>
      <c r="E148" s="211">
        <v>2</v>
      </c>
      <c r="F148" s="212">
        <v>131834</v>
      </c>
      <c r="G148" s="151"/>
      <c r="H148" s="151"/>
      <c r="I148" s="151"/>
      <c r="J148" s="151"/>
      <c r="K148" s="151"/>
      <c r="L148" s="151"/>
      <c r="M148" s="151"/>
      <c r="N148" s="151"/>
      <c r="O148" s="151"/>
      <c r="P148" s="151"/>
      <c r="Q148" s="151">
        <f t="shared" si="10"/>
        <v>0</v>
      </c>
      <c r="R148" s="706"/>
    </row>
    <row r="149" spans="1:18" ht="15" hidden="1" customHeight="1" x14ac:dyDescent="0.25">
      <c r="A149" s="172"/>
      <c r="B149" s="172"/>
      <c r="C149" s="188"/>
      <c r="D149" s="356" t="s">
        <v>437</v>
      </c>
      <c r="E149" s="211">
        <v>2</v>
      </c>
      <c r="F149" s="212">
        <v>131836</v>
      </c>
      <c r="G149" s="151"/>
      <c r="H149" s="151"/>
      <c r="I149" s="151"/>
      <c r="J149" s="151"/>
      <c r="K149" s="151"/>
      <c r="L149" s="151"/>
      <c r="M149" s="151"/>
      <c r="N149" s="151"/>
      <c r="O149" s="151"/>
      <c r="P149" s="151"/>
      <c r="Q149" s="151">
        <f t="shared" si="10"/>
        <v>0</v>
      </c>
      <c r="R149" s="706"/>
    </row>
    <row r="150" spans="1:18" ht="15" hidden="1" customHeight="1" x14ac:dyDescent="0.25">
      <c r="A150" s="172"/>
      <c r="B150" s="172"/>
      <c r="C150" s="188"/>
      <c r="D150" s="356" t="s">
        <v>438</v>
      </c>
      <c r="E150" s="211">
        <v>2</v>
      </c>
      <c r="F150" s="212">
        <v>131837</v>
      </c>
      <c r="G150" s="151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>
        <f t="shared" si="10"/>
        <v>0</v>
      </c>
      <c r="R150" s="706"/>
    </row>
    <row r="151" spans="1:18" ht="15" hidden="1" customHeight="1" x14ac:dyDescent="0.25">
      <c r="A151" s="172"/>
      <c r="B151" s="172"/>
      <c r="C151" s="188"/>
      <c r="D151" s="356" t="s">
        <v>439</v>
      </c>
      <c r="E151" s="211">
        <v>2</v>
      </c>
      <c r="F151" s="212">
        <v>131838</v>
      </c>
      <c r="G151" s="151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>
        <f t="shared" si="10"/>
        <v>0</v>
      </c>
      <c r="R151" s="706"/>
    </row>
    <row r="152" spans="1:18" ht="15" hidden="1" customHeight="1" x14ac:dyDescent="0.25">
      <c r="A152" s="172"/>
      <c r="B152" s="172"/>
      <c r="C152" s="188"/>
      <c r="D152" s="356" t="s">
        <v>440</v>
      </c>
      <c r="E152" s="211">
        <v>2</v>
      </c>
      <c r="F152" s="212">
        <v>131840</v>
      </c>
      <c r="G152" s="151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>
        <f t="shared" si="10"/>
        <v>0</v>
      </c>
      <c r="R152" s="706"/>
    </row>
    <row r="153" spans="1:18" ht="15" hidden="1" customHeight="1" x14ac:dyDescent="0.25">
      <c r="A153" s="172"/>
      <c r="B153" s="172"/>
      <c r="C153" s="188"/>
      <c r="D153" s="356" t="s">
        <v>441</v>
      </c>
      <c r="E153" s="211">
        <v>2</v>
      </c>
      <c r="F153" s="212">
        <v>131841</v>
      </c>
      <c r="G153" s="151"/>
      <c r="H153" s="151"/>
      <c r="I153" s="151"/>
      <c r="J153" s="151"/>
      <c r="K153" s="151"/>
      <c r="L153" s="151"/>
      <c r="M153" s="151"/>
      <c r="N153" s="151"/>
      <c r="O153" s="151"/>
      <c r="P153" s="151"/>
      <c r="Q153" s="151">
        <f t="shared" si="10"/>
        <v>0</v>
      </c>
      <c r="R153" s="706"/>
    </row>
    <row r="154" spans="1:18" ht="15" hidden="1" customHeight="1" x14ac:dyDescent="0.25">
      <c r="A154" s="172"/>
      <c r="B154" s="172"/>
      <c r="C154" s="188"/>
      <c r="D154" s="356" t="s">
        <v>442</v>
      </c>
      <c r="E154" s="211">
        <v>2</v>
      </c>
      <c r="F154" s="212">
        <v>131843</v>
      </c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>
        <f t="shared" si="10"/>
        <v>0</v>
      </c>
      <c r="R154" s="706"/>
    </row>
    <row r="155" spans="1:18" ht="15" hidden="1" customHeight="1" x14ac:dyDescent="0.25">
      <c r="A155" s="172"/>
      <c r="B155" s="172"/>
      <c r="C155" s="172"/>
      <c r="D155" s="151" t="s">
        <v>443</v>
      </c>
      <c r="E155" s="211">
        <v>2</v>
      </c>
      <c r="F155" s="212">
        <v>131847</v>
      </c>
      <c r="G155" s="151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>
        <f t="shared" si="10"/>
        <v>0</v>
      </c>
      <c r="R155" s="706"/>
    </row>
    <row r="156" spans="1:18" ht="15" hidden="1" customHeight="1" x14ac:dyDescent="0.25">
      <c r="A156" s="172"/>
      <c r="B156" s="172"/>
      <c r="C156" s="172"/>
      <c r="D156" s="358" t="s">
        <v>444</v>
      </c>
      <c r="E156" s="211">
        <v>2</v>
      </c>
      <c r="F156" s="212">
        <v>131848</v>
      </c>
      <c r="G156" s="151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>
        <f t="shared" si="10"/>
        <v>0</v>
      </c>
      <c r="R156" s="706"/>
    </row>
    <row r="157" spans="1:18" ht="15" hidden="1" customHeight="1" x14ac:dyDescent="0.25">
      <c r="A157" s="172"/>
      <c r="B157" s="172"/>
      <c r="C157" s="172"/>
      <c r="D157" s="358" t="s">
        <v>445</v>
      </c>
      <c r="E157" s="211">
        <v>2</v>
      </c>
      <c r="F157" s="212">
        <v>131850</v>
      </c>
      <c r="G157" s="151"/>
      <c r="H157" s="151"/>
      <c r="I157" s="151"/>
      <c r="J157" s="151"/>
      <c r="K157" s="151"/>
      <c r="L157" s="151"/>
      <c r="M157" s="151"/>
      <c r="N157" s="151"/>
      <c r="O157" s="151"/>
      <c r="P157" s="151"/>
      <c r="Q157" s="151">
        <f t="shared" si="10"/>
        <v>0</v>
      </c>
      <c r="R157" s="706"/>
    </row>
    <row r="158" spans="1:18" ht="15" hidden="1" customHeight="1" x14ac:dyDescent="0.25">
      <c r="A158" s="172"/>
      <c r="B158" s="172"/>
      <c r="C158" s="172"/>
      <c r="D158" s="358" t="s">
        <v>446</v>
      </c>
      <c r="E158" s="211">
        <v>2</v>
      </c>
      <c r="F158" s="212">
        <v>131851</v>
      </c>
      <c r="G158" s="151"/>
      <c r="H158" s="151"/>
      <c r="I158" s="151"/>
      <c r="J158" s="151"/>
      <c r="K158" s="151"/>
      <c r="L158" s="151"/>
      <c r="M158" s="151"/>
      <c r="N158" s="151"/>
      <c r="O158" s="151"/>
      <c r="P158" s="151"/>
      <c r="Q158" s="151">
        <f t="shared" si="10"/>
        <v>0</v>
      </c>
      <c r="R158" s="706"/>
    </row>
    <row r="159" spans="1:18" ht="15" hidden="1" customHeight="1" x14ac:dyDescent="0.25">
      <c r="A159" s="172"/>
      <c r="B159" s="172"/>
      <c r="C159" s="172"/>
      <c r="D159" s="352" t="s">
        <v>447</v>
      </c>
      <c r="E159" s="211">
        <v>2</v>
      </c>
      <c r="F159" s="212">
        <v>131852</v>
      </c>
      <c r="G159" s="151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>
        <f t="shared" si="10"/>
        <v>0</v>
      </c>
      <c r="R159" s="706"/>
    </row>
    <row r="160" spans="1:18" ht="40.5" hidden="1" customHeight="1" x14ac:dyDescent="0.25">
      <c r="A160" s="172"/>
      <c r="B160" s="172"/>
      <c r="C160" s="172"/>
      <c r="D160" s="601" t="s">
        <v>448</v>
      </c>
      <c r="E160" s="214">
        <v>2</v>
      </c>
      <c r="F160" s="210">
        <v>131853</v>
      </c>
      <c r="G160" s="151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>
        <f t="shared" si="10"/>
        <v>0</v>
      </c>
      <c r="R160" s="706"/>
    </row>
    <row r="161" spans="1:18" ht="26.25" hidden="1" customHeight="1" x14ac:dyDescent="0.25">
      <c r="A161" s="172"/>
      <c r="B161" s="172"/>
      <c r="C161" s="172"/>
      <c r="D161" s="213" t="s">
        <v>449</v>
      </c>
      <c r="E161" s="214">
        <v>2</v>
      </c>
      <c r="F161" s="210">
        <v>131862</v>
      </c>
      <c r="G161" s="151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>
        <f t="shared" si="10"/>
        <v>0</v>
      </c>
      <c r="R161" s="706"/>
    </row>
    <row r="162" spans="1:18" ht="16.95" hidden="1" customHeight="1" x14ac:dyDescent="0.25">
      <c r="A162" s="507"/>
      <c r="B162" s="507"/>
      <c r="C162" s="507"/>
      <c r="D162" s="513" t="s">
        <v>1103</v>
      </c>
      <c r="E162" s="514">
        <v>2</v>
      </c>
      <c r="F162" s="515">
        <v>131854</v>
      </c>
      <c r="G162" s="510"/>
      <c r="H162" s="510"/>
      <c r="I162" s="510"/>
      <c r="J162" s="510"/>
      <c r="K162" s="510"/>
      <c r="L162" s="510"/>
      <c r="M162" s="510"/>
      <c r="N162" s="510"/>
      <c r="O162" s="510"/>
      <c r="P162" s="510"/>
      <c r="Q162" s="510">
        <f t="shared" si="10"/>
        <v>0</v>
      </c>
      <c r="R162" s="706"/>
    </row>
    <row r="163" spans="1:18" ht="15" hidden="1" customHeight="1" x14ac:dyDescent="0.25">
      <c r="A163" s="172"/>
      <c r="B163" s="172"/>
      <c r="C163" s="172"/>
      <c r="D163" s="359" t="s">
        <v>450</v>
      </c>
      <c r="E163" s="211">
        <v>2</v>
      </c>
      <c r="F163" s="212">
        <v>131859</v>
      </c>
      <c r="G163" s="151"/>
      <c r="H163" s="151"/>
      <c r="I163" s="151"/>
      <c r="J163" s="151"/>
      <c r="K163" s="151"/>
      <c r="L163" s="151"/>
      <c r="M163" s="151"/>
      <c r="N163" s="151"/>
      <c r="O163" s="151"/>
      <c r="P163" s="151"/>
      <c r="Q163" s="151">
        <f t="shared" si="10"/>
        <v>0</v>
      </c>
      <c r="R163" s="706"/>
    </row>
    <row r="164" spans="1:18" ht="15" hidden="1" customHeight="1" x14ac:dyDescent="0.25">
      <c r="A164" s="172"/>
      <c r="B164" s="172"/>
      <c r="C164" s="172"/>
      <c r="D164" s="359" t="s">
        <v>451</v>
      </c>
      <c r="E164" s="211">
        <v>2</v>
      </c>
      <c r="F164" s="212">
        <v>131860</v>
      </c>
      <c r="G164" s="151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>
        <f t="shared" si="10"/>
        <v>0</v>
      </c>
      <c r="R164" s="706"/>
    </row>
    <row r="165" spans="1:18" ht="15" hidden="1" customHeight="1" x14ac:dyDescent="0.25">
      <c r="A165" s="172"/>
      <c r="B165" s="172"/>
      <c r="C165" s="172"/>
      <c r="D165" s="359" t="s">
        <v>452</v>
      </c>
      <c r="E165" s="211">
        <v>2</v>
      </c>
      <c r="F165" s="212">
        <v>131861</v>
      </c>
      <c r="G165" s="151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>
        <f t="shared" si="10"/>
        <v>0</v>
      </c>
      <c r="R165" s="706"/>
    </row>
    <row r="166" spans="1:18" ht="15" hidden="1" customHeight="1" x14ac:dyDescent="0.25">
      <c r="A166" s="172"/>
      <c r="B166" s="172"/>
      <c r="C166" s="172"/>
      <c r="D166" s="185" t="s">
        <v>453</v>
      </c>
      <c r="E166" s="183">
        <v>2</v>
      </c>
      <c r="F166" s="151">
        <v>131829</v>
      </c>
      <c r="G166" s="151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>
        <f t="shared" si="10"/>
        <v>0</v>
      </c>
      <c r="R166" s="706"/>
    </row>
    <row r="167" spans="1:18" ht="15" customHeight="1" x14ac:dyDescent="0.25">
      <c r="A167" s="172"/>
      <c r="B167" s="172"/>
      <c r="C167" s="172"/>
      <c r="D167" s="628" t="s">
        <v>1228</v>
      </c>
      <c r="E167" s="183">
        <v>2</v>
      </c>
      <c r="F167" s="268">
        <v>131830</v>
      </c>
      <c r="G167" s="151"/>
      <c r="H167" s="151"/>
      <c r="I167" s="151">
        <v>-500</v>
      </c>
      <c r="J167" s="151"/>
      <c r="K167" s="151">
        <v>500</v>
      </c>
      <c r="L167" s="151"/>
      <c r="M167" s="151"/>
      <c r="N167" s="151"/>
      <c r="O167" s="151"/>
      <c r="P167" s="151"/>
      <c r="Q167" s="151">
        <f t="shared" si="10"/>
        <v>0</v>
      </c>
      <c r="R167" s="706" t="s">
        <v>1294</v>
      </c>
    </row>
    <row r="168" spans="1:18" ht="15" customHeight="1" x14ac:dyDescent="0.25">
      <c r="A168" s="172"/>
      <c r="B168" s="172"/>
      <c r="C168" s="172"/>
      <c r="D168" s="151" t="s">
        <v>454</v>
      </c>
      <c r="E168" s="183"/>
      <c r="F168" s="151"/>
      <c r="G168" s="151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/>
      <c r="R168" s="706"/>
    </row>
    <row r="169" spans="1:18" ht="15" customHeight="1" x14ac:dyDescent="0.25">
      <c r="A169" s="172"/>
      <c r="B169" s="172"/>
      <c r="C169" s="188"/>
      <c r="D169" s="186" t="s">
        <v>455</v>
      </c>
      <c r="E169" s="183">
        <v>1</v>
      </c>
      <c r="F169" s="151">
        <v>131827</v>
      </c>
      <c r="G169" s="151"/>
      <c r="H169" s="151"/>
      <c r="I169" s="151">
        <v>-28823</v>
      </c>
      <c r="J169" s="151"/>
      <c r="K169" s="151">
        <v>28823</v>
      </c>
      <c r="L169" s="151"/>
      <c r="M169" s="151"/>
      <c r="N169" s="151"/>
      <c r="O169" s="151"/>
      <c r="P169" s="151"/>
      <c r="Q169" s="151">
        <f>SUM(G169:P169)</f>
        <v>0</v>
      </c>
      <c r="R169" s="706" t="s">
        <v>1294</v>
      </c>
    </row>
    <row r="170" spans="1:18" ht="15" hidden="1" customHeight="1" x14ac:dyDescent="0.25">
      <c r="A170" s="172"/>
      <c r="B170" s="172"/>
      <c r="C170" s="188"/>
      <c r="D170" s="186" t="s">
        <v>456</v>
      </c>
      <c r="E170" s="151">
        <v>2</v>
      </c>
      <c r="F170" s="151">
        <v>131857</v>
      </c>
      <c r="G170" s="151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>
        <f>SUM(G170:P170)</f>
        <v>0</v>
      </c>
      <c r="R170" s="706"/>
    </row>
    <row r="171" spans="1:18" ht="15" hidden="1" customHeight="1" x14ac:dyDescent="0.25">
      <c r="A171" s="172"/>
      <c r="B171" s="172"/>
      <c r="C171" s="188"/>
      <c r="D171" s="215" t="s">
        <v>457</v>
      </c>
      <c r="E171" s="151">
        <v>2</v>
      </c>
      <c r="F171" s="151">
        <v>131844</v>
      </c>
      <c r="G171" s="151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>
        <f>SUM(G171:P171)</f>
        <v>0</v>
      </c>
      <c r="R171" s="706"/>
    </row>
    <row r="172" spans="1:18" ht="15" hidden="1" customHeight="1" x14ac:dyDescent="0.25">
      <c r="A172" s="172"/>
      <c r="B172" s="172"/>
      <c r="C172" s="188"/>
      <c r="D172" s="433" t="s">
        <v>1092</v>
      </c>
      <c r="E172" s="192">
        <v>2</v>
      </c>
      <c r="F172" s="151">
        <v>221966</v>
      </c>
      <c r="G172" s="255"/>
      <c r="H172" s="255"/>
      <c r="I172" s="255"/>
      <c r="J172" s="255"/>
      <c r="K172" s="255"/>
      <c r="L172" s="255"/>
      <c r="M172" s="255"/>
      <c r="N172" s="255"/>
      <c r="O172" s="255"/>
      <c r="P172" s="255"/>
      <c r="Q172" s="243">
        <f>SUM(G172:P172)</f>
        <v>0</v>
      </c>
      <c r="R172" s="706"/>
    </row>
    <row r="173" spans="1:18" ht="15" hidden="1" customHeight="1" x14ac:dyDescent="0.25">
      <c r="A173" s="172"/>
      <c r="B173" s="172"/>
      <c r="C173" s="188"/>
      <c r="D173" s="566" t="s">
        <v>1086</v>
      </c>
      <c r="E173" s="151">
        <v>2</v>
      </c>
      <c r="F173" s="151">
        <v>191801</v>
      </c>
      <c r="G173" s="151"/>
      <c r="H173" s="151"/>
      <c r="I173" s="151"/>
      <c r="J173" s="151"/>
      <c r="K173" s="151"/>
      <c r="L173" s="151"/>
      <c r="M173" s="151"/>
      <c r="N173" s="151"/>
      <c r="O173" s="151"/>
      <c r="P173" s="151"/>
      <c r="Q173" s="151">
        <f>SUM(G173:P173)</f>
        <v>0</v>
      </c>
      <c r="R173" s="706"/>
    </row>
    <row r="174" spans="1:18" ht="12" customHeight="1" x14ac:dyDescent="0.25">
      <c r="A174" s="194"/>
      <c r="B174" s="194"/>
      <c r="C174" s="195"/>
      <c r="D174" s="196" t="s">
        <v>458</v>
      </c>
      <c r="E174" s="197"/>
      <c r="F174" s="198"/>
      <c r="G174" s="216">
        <f t="shared" ref="G174:Q174" si="11">SUM(G50:G173)</f>
        <v>412</v>
      </c>
      <c r="H174" s="216">
        <f t="shared" si="11"/>
        <v>54</v>
      </c>
      <c r="I174" s="216">
        <f t="shared" si="11"/>
        <v>-29323</v>
      </c>
      <c r="J174" s="216">
        <f t="shared" si="11"/>
        <v>0</v>
      </c>
      <c r="K174" s="216">
        <f t="shared" si="11"/>
        <v>28857</v>
      </c>
      <c r="L174" s="216">
        <f t="shared" si="11"/>
        <v>0</v>
      </c>
      <c r="M174" s="216">
        <f t="shared" si="11"/>
        <v>0</v>
      </c>
      <c r="N174" s="216">
        <f t="shared" si="11"/>
        <v>0</v>
      </c>
      <c r="O174" s="216">
        <f t="shared" si="11"/>
        <v>0</v>
      </c>
      <c r="P174" s="216">
        <f t="shared" si="11"/>
        <v>0</v>
      </c>
      <c r="Q174" s="216">
        <f t="shared" si="11"/>
        <v>0</v>
      </c>
      <c r="R174" s="707"/>
    </row>
    <row r="175" spans="1:18" ht="12" customHeight="1" x14ac:dyDescent="0.25">
      <c r="A175" s="199"/>
      <c r="B175" s="199"/>
      <c r="C175" s="217"/>
      <c r="D175" s="218" t="s">
        <v>352</v>
      </c>
      <c r="E175" s="201"/>
      <c r="F175" s="202"/>
      <c r="G175" s="219"/>
      <c r="H175" s="219"/>
      <c r="I175" s="219"/>
      <c r="J175" s="219"/>
      <c r="K175" s="219"/>
      <c r="L175" s="219"/>
      <c r="M175" s="219"/>
      <c r="N175" s="219"/>
      <c r="O175" s="219"/>
      <c r="P175" s="219"/>
      <c r="Q175" s="219"/>
      <c r="R175" s="706"/>
    </row>
    <row r="176" spans="1:18" ht="15" customHeight="1" x14ac:dyDescent="0.25">
      <c r="A176" s="199"/>
      <c r="B176" s="199"/>
      <c r="C176" s="217" t="s">
        <v>92</v>
      </c>
      <c r="D176" s="221" t="s">
        <v>361</v>
      </c>
      <c r="E176" s="201"/>
      <c r="F176" s="202"/>
      <c r="G176" s="219"/>
      <c r="H176" s="219"/>
      <c r="I176" s="219"/>
      <c r="J176" s="219"/>
      <c r="K176" s="219"/>
      <c r="L176" s="219"/>
      <c r="M176" s="219"/>
      <c r="N176" s="219"/>
      <c r="O176" s="219"/>
      <c r="P176" s="219"/>
      <c r="Q176" s="219"/>
      <c r="R176" s="706"/>
    </row>
    <row r="177" spans="1:18" ht="15" customHeight="1" x14ac:dyDescent="0.25">
      <c r="A177" s="199"/>
      <c r="B177" s="199"/>
      <c r="C177" s="360" t="s">
        <v>459</v>
      </c>
      <c r="D177" s="361" t="s">
        <v>460</v>
      </c>
      <c r="E177" s="222"/>
      <c r="F177" s="202"/>
      <c r="G177" s="223"/>
      <c r="H177" s="223"/>
      <c r="I177" s="223"/>
      <c r="J177" s="223"/>
      <c r="K177" s="223"/>
      <c r="L177" s="223"/>
      <c r="M177" s="223"/>
      <c r="N177" s="223"/>
      <c r="O177" s="223"/>
      <c r="P177" s="223"/>
      <c r="Q177" s="223"/>
      <c r="R177" s="706"/>
    </row>
    <row r="178" spans="1:18" ht="18.75" customHeight="1" x14ac:dyDescent="0.25">
      <c r="A178" s="199"/>
      <c r="B178" s="199"/>
      <c r="C178" s="188" t="s">
        <v>461</v>
      </c>
      <c r="D178" s="277" t="s">
        <v>467</v>
      </c>
      <c r="E178" s="200"/>
      <c r="F178" s="151">
        <v>134908</v>
      </c>
      <c r="G178" s="192"/>
      <c r="H178" s="192"/>
      <c r="I178" s="192"/>
      <c r="J178" s="192"/>
      <c r="K178" s="192"/>
      <c r="L178" s="192"/>
      <c r="M178" s="192">
        <v>-1000</v>
      </c>
      <c r="N178" s="192"/>
      <c r="O178" s="192"/>
      <c r="P178" s="192"/>
      <c r="Q178" s="223">
        <f t="shared" ref="Q178:Q184" si="12">SUM(G178:P178)</f>
        <v>-1000</v>
      </c>
      <c r="R178" s="706" t="s">
        <v>1294</v>
      </c>
    </row>
    <row r="179" spans="1:18" ht="18" hidden="1" customHeight="1" x14ac:dyDescent="0.25">
      <c r="A179" s="199"/>
      <c r="B179" s="199"/>
      <c r="C179" s="188" t="s">
        <v>462</v>
      </c>
      <c r="D179" s="363" t="s">
        <v>463</v>
      </c>
      <c r="E179" s="200"/>
      <c r="F179" s="151">
        <v>134920</v>
      </c>
      <c r="G179" s="192"/>
      <c r="H179" s="192"/>
      <c r="I179" s="192"/>
      <c r="J179" s="192"/>
      <c r="K179" s="192"/>
      <c r="L179" s="192"/>
      <c r="M179" s="192"/>
      <c r="N179" s="192"/>
      <c r="O179" s="192"/>
      <c r="P179" s="192"/>
      <c r="Q179" s="223">
        <f t="shared" si="12"/>
        <v>0</v>
      </c>
      <c r="R179" s="706"/>
    </row>
    <row r="180" spans="1:18" ht="18" customHeight="1" x14ac:dyDescent="0.25">
      <c r="A180" s="199"/>
      <c r="B180" s="199"/>
      <c r="C180" s="188" t="s">
        <v>464</v>
      </c>
      <c r="D180" s="580" t="s">
        <v>1227</v>
      </c>
      <c r="E180" s="574"/>
      <c r="F180" s="510">
        <v>132904</v>
      </c>
      <c r="G180" s="192"/>
      <c r="H180" s="192"/>
      <c r="I180" s="192"/>
      <c r="J180" s="192"/>
      <c r="K180" s="192"/>
      <c r="L180" s="192"/>
      <c r="M180" s="192"/>
      <c r="N180" s="192">
        <v>-2000</v>
      </c>
      <c r="O180" s="192"/>
      <c r="P180" s="192"/>
      <c r="Q180" s="223">
        <f t="shared" si="12"/>
        <v>-2000</v>
      </c>
      <c r="R180" s="706" t="s">
        <v>1294</v>
      </c>
    </row>
    <row r="181" spans="1:18" ht="18" hidden="1" customHeight="1" x14ac:dyDescent="0.25">
      <c r="A181" s="199"/>
      <c r="B181" s="199"/>
      <c r="C181" s="188" t="s">
        <v>465</v>
      </c>
      <c r="D181" s="208" t="s">
        <v>893</v>
      </c>
      <c r="E181" s="224"/>
      <c r="F181" s="151">
        <v>134944</v>
      </c>
      <c r="G181" s="192"/>
      <c r="H181" s="192"/>
      <c r="I181" s="192"/>
      <c r="J181" s="192"/>
      <c r="K181" s="192"/>
      <c r="L181" s="192"/>
      <c r="M181" s="192"/>
      <c r="N181" s="192"/>
      <c r="O181" s="192"/>
      <c r="P181" s="192"/>
      <c r="Q181" s="223">
        <f t="shared" si="12"/>
        <v>0</v>
      </c>
      <c r="R181" s="706"/>
    </row>
    <row r="182" spans="1:18" ht="18" hidden="1" customHeight="1" x14ac:dyDescent="0.25">
      <c r="A182" s="199"/>
      <c r="B182" s="199"/>
      <c r="C182" s="188" t="s">
        <v>466</v>
      </c>
      <c r="D182" s="277" t="s">
        <v>1159</v>
      </c>
      <c r="E182" s="200"/>
      <c r="F182" s="268">
        <v>134903</v>
      </c>
      <c r="G182" s="192"/>
      <c r="H182" s="192"/>
      <c r="I182" s="192"/>
      <c r="J182" s="192"/>
      <c r="K182" s="192"/>
      <c r="L182" s="192"/>
      <c r="M182" s="192"/>
      <c r="N182" s="192"/>
      <c r="O182" s="192"/>
      <c r="P182" s="192"/>
      <c r="Q182" s="223">
        <f t="shared" si="12"/>
        <v>0</v>
      </c>
      <c r="R182" s="706"/>
    </row>
    <row r="183" spans="1:18" ht="18" hidden="1" customHeight="1" x14ac:dyDescent="0.25">
      <c r="A183" s="641"/>
      <c r="B183" s="641"/>
      <c r="C183" s="188" t="s">
        <v>1236</v>
      </c>
      <c r="D183" s="642" t="s">
        <v>1237</v>
      </c>
      <c r="E183" s="640"/>
      <c r="F183" s="644">
        <v>134916</v>
      </c>
      <c r="G183" s="637"/>
      <c r="H183" s="637"/>
      <c r="I183" s="637"/>
      <c r="J183" s="637"/>
      <c r="K183" s="637"/>
      <c r="L183" s="637"/>
      <c r="M183" s="637"/>
      <c r="N183" s="637"/>
      <c r="O183" s="637"/>
      <c r="P183" s="637"/>
      <c r="Q183" s="223">
        <f t="shared" si="12"/>
        <v>0</v>
      </c>
      <c r="R183" s="706"/>
    </row>
    <row r="184" spans="1:18" ht="18" customHeight="1" x14ac:dyDescent="0.25">
      <c r="A184" s="757"/>
      <c r="B184" s="757"/>
      <c r="C184" s="758" t="s">
        <v>1296</v>
      </c>
      <c r="D184" s="759" t="s">
        <v>1297</v>
      </c>
      <c r="E184" s="640"/>
      <c r="F184" s="760">
        <v>134971</v>
      </c>
      <c r="G184" s="761"/>
      <c r="H184" s="761"/>
      <c r="I184" s="761"/>
      <c r="J184" s="761"/>
      <c r="K184" s="761"/>
      <c r="L184" s="761"/>
      <c r="M184" s="761">
        <v>4000</v>
      </c>
      <c r="N184" s="761"/>
      <c r="O184" s="761"/>
      <c r="P184" s="761"/>
      <c r="Q184" s="223">
        <f t="shared" si="12"/>
        <v>4000</v>
      </c>
      <c r="R184" s="762" t="s">
        <v>1294</v>
      </c>
    </row>
    <row r="185" spans="1:18" ht="15" hidden="1" customHeight="1" x14ac:dyDescent="0.25">
      <c r="A185" s="199"/>
      <c r="B185" s="199"/>
      <c r="C185" s="217" t="s">
        <v>468</v>
      </c>
      <c r="D185" s="364" t="s">
        <v>469</v>
      </c>
      <c r="E185" s="200"/>
      <c r="F185" s="151"/>
      <c r="G185" s="192"/>
      <c r="H185" s="192"/>
      <c r="I185" s="192"/>
      <c r="J185" s="192"/>
      <c r="K185" s="192"/>
      <c r="L185" s="192"/>
      <c r="M185" s="192"/>
      <c r="N185" s="192"/>
      <c r="O185" s="192"/>
      <c r="P185" s="192"/>
      <c r="Q185" s="223"/>
      <c r="R185" s="706"/>
    </row>
    <row r="186" spans="1:18" ht="17.25" hidden="1" customHeight="1" x14ac:dyDescent="0.25">
      <c r="A186" s="199"/>
      <c r="B186" s="199"/>
      <c r="C186" s="225" t="s">
        <v>470</v>
      </c>
      <c r="D186" s="365" t="s">
        <v>471</v>
      </c>
      <c r="E186" s="200"/>
      <c r="F186" s="151">
        <v>134928</v>
      </c>
      <c r="G186" s="192"/>
      <c r="H186" s="192"/>
      <c r="I186" s="192"/>
      <c r="J186" s="192"/>
      <c r="K186" s="192"/>
      <c r="L186" s="192"/>
      <c r="M186" s="192"/>
      <c r="N186" s="192"/>
      <c r="O186" s="192"/>
      <c r="P186" s="192"/>
      <c r="Q186" s="223">
        <f>SUM(G186:P186)</f>
        <v>0</v>
      </c>
      <c r="R186" s="706"/>
    </row>
    <row r="187" spans="1:18" ht="18" hidden="1" customHeight="1" x14ac:dyDescent="0.25">
      <c r="A187" s="199"/>
      <c r="B187" s="199"/>
      <c r="C187" s="507" t="s">
        <v>472</v>
      </c>
      <c r="D187" s="510" t="s">
        <v>1160</v>
      </c>
      <c r="F187" s="651">
        <v>134917</v>
      </c>
      <c r="G187" s="192"/>
      <c r="H187" s="192"/>
      <c r="I187" s="192"/>
      <c r="J187" s="192"/>
      <c r="K187" s="192"/>
      <c r="L187" s="192"/>
      <c r="M187" s="192"/>
      <c r="N187" s="192"/>
      <c r="O187" s="192"/>
      <c r="P187" s="192"/>
      <c r="Q187" s="223">
        <f t="shared" ref="Q187:Q191" si="13">SUM(L187:P187)</f>
        <v>0</v>
      </c>
      <c r="R187" s="706"/>
    </row>
    <row r="188" spans="1:18" ht="26.25" hidden="1" customHeight="1" x14ac:dyDescent="0.25">
      <c r="A188" s="199"/>
      <c r="B188" s="199"/>
      <c r="C188" s="507" t="s">
        <v>473</v>
      </c>
      <c r="D188" s="515" t="s">
        <v>1161</v>
      </c>
      <c r="F188" s="651">
        <v>134922</v>
      </c>
      <c r="G188" s="192"/>
      <c r="H188" s="192"/>
      <c r="I188" s="192"/>
      <c r="J188" s="192"/>
      <c r="K188" s="192"/>
      <c r="L188" s="192"/>
      <c r="M188" s="192"/>
      <c r="N188" s="192"/>
      <c r="O188" s="192"/>
      <c r="P188" s="192"/>
      <c r="Q188" s="223">
        <f t="shared" si="13"/>
        <v>0</v>
      </c>
      <c r="R188" s="706"/>
    </row>
    <row r="189" spans="1:18" ht="19.5" hidden="1" customHeight="1" x14ac:dyDescent="0.25">
      <c r="A189" s="576"/>
      <c r="B189" s="576"/>
      <c r="C189" s="507"/>
      <c r="D189" s="581" t="s">
        <v>1162</v>
      </c>
      <c r="F189" s="651"/>
      <c r="G189" s="511"/>
      <c r="H189" s="511"/>
      <c r="I189" s="511"/>
      <c r="J189" s="511"/>
      <c r="K189" s="511"/>
      <c r="L189" s="511"/>
      <c r="M189" s="511"/>
      <c r="N189" s="511"/>
      <c r="O189" s="511"/>
      <c r="P189" s="511"/>
      <c r="Q189" s="223"/>
      <c r="R189" s="706"/>
    </row>
    <row r="190" spans="1:18" ht="20.25" hidden="1" customHeight="1" x14ac:dyDescent="0.25">
      <c r="A190" s="576"/>
      <c r="B190" s="576"/>
      <c r="C190" s="507" t="s">
        <v>1163</v>
      </c>
      <c r="D190" s="515" t="s">
        <v>1252</v>
      </c>
      <c r="F190" s="651">
        <v>134953</v>
      </c>
      <c r="G190" s="511"/>
      <c r="H190" s="511"/>
      <c r="I190" s="511"/>
      <c r="J190" s="511"/>
      <c r="K190" s="511"/>
      <c r="L190" s="511"/>
      <c r="M190" s="511"/>
      <c r="N190" s="511"/>
      <c r="O190" s="511"/>
      <c r="P190" s="511"/>
      <c r="Q190" s="223">
        <f t="shared" si="13"/>
        <v>0</v>
      </c>
      <c r="R190" s="706"/>
    </row>
    <row r="191" spans="1:18" ht="18" hidden="1" customHeight="1" x14ac:dyDescent="0.25">
      <c r="A191" s="199"/>
      <c r="B191" s="199"/>
      <c r="C191" s="507" t="s">
        <v>1202</v>
      </c>
      <c r="D191" s="587" t="s">
        <v>1178</v>
      </c>
      <c r="E191" s="200"/>
      <c r="F191" s="652">
        <v>132965</v>
      </c>
      <c r="G191" s="192"/>
      <c r="H191" s="192"/>
      <c r="I191" s="192"/>
      <c r="J191" s="192"/>
      <c r="K191" s="192"/>
      <c r="L191" s="192"/>
      <c r="M191" s="192"/>
      <c r="N191" s="192"/>
      <c r="O191" s="192"/>
      <c r="P191" s="192"/>
      <c r="Q191" s="223">
        <f t="shared" si="13"/>
        <v>0</v>
      </c>
      <c r="R191" s="706"/>
    </row>
    <row r="192" spans="1:18" ht="15" customHeight="1" x14ac:dyDescent="0.25">
      <c r="A192" s="199"/>
      <c r="B192" s="199"/>
      <c r="C192" s="582" t="s">
        <v>91</v>
      </c>
      <c r="D192" s="893" t="s">
        <v>368</v>
      </c>
      <c r="E192" s="894"/>
      <c r="F192" s="151"/>
      <c r="G192" s="192"/>
      <c r="H192" s="192"/>
      <c r="I192" s="192"/>
      <c r="J192" s="192"/>
      <c r="K192" s="192"/>
      <c r="L192" s="192"/>
      <c r="M192" s="192"/>
      <c r="N192" s="192"/>
      <c r="O192" s="192"/>
      <c r="P192" s="192"/>
      <c r="Q192" s="223"/>
      <c r="R192" s="706"/>
    </row>
    <row r="193" spans="1:18" ht="27" customHeight="1" x14ac:dyDescent="0.25">
      <c r="A193" s="199"/>
      <c r="B193" s="199"/>
      <c r="C193" s="188" t="s">
        <v>474</v>
      </c>
      <c r="D193" s="547" t="s">
        <v>1122</v>
      </c>
      <c r="E193" s="209">
        <v>2</v>
      </c>
      <c r="F193" s="151">
        <v>134912</v>
      </c>
      <c r="G193" s="151"/>
      <c r="H193" s="151"/>
      <c r="I193" s="151"/>
      <c r="J193" s="151"/>
      <c r="K193" s="151"/>
      <c r="L193" s="151"/>
      <c r="M193" s="268">
        <v>200</v>
      </c>
      <c r="N193" s="151"/>
      <c r="O193" s="151"/>
      <c r="P193" s="151"/>
      <c r="Q193" s="151">
        <f t="shared" ref="Q193" si="14">SUM(G193:P193)</f>
        <v>200</v>
      </c>
      <c r="R193" s="706" t="s">
        <v>1295</v>
      </c>
    </row>
    <row r="194" spans="1:18" ht="18.75" hidden="1" customHeight="1" x14ac:dyDescent="0.25">
      <c r="A194" s="199"/>
      <c r="B194" s="199"/>
      <c r="C194" s="188" t="s">
        <v>475</v>
      </c>
      <c r="D194" s="186" t="s">
        <v>1164</v>
      </c>
      <c r="E194" s="201"/>
      <c r="F194" s="268">
        <v>134925</v>
      </c>
      <c r="G194" s="192"/>
      <c r="H194" s="192"/>
      <c r="I194" s="192"/>
      <c r="J194" s="192"/>
      <c r="K194" s="192"/>
      <c r="L194" s="192"/>
      <c r="M194" s="192"/>
      <c r="N194" s="192"/>
      <c r="O194" s="192"/>
      <c r="P194" s="192"/>
      <c r="Q194" s="223">
        <f t="shared" ref="Q194:Q196" si="15">SUM(M194:P194)</f>
        <v>0</v>
      </c>
      <c r="R194" s="706"/>
    </row>
    <row r="195" spans="1:18" ht="15.6" customHeight="1" x14ac:dyDescent="0.25">
      <c r="A195" s="199"/>
      <c r="B195" s="199"/>
      <c r="C195" s="188" t="s">
        <v>865</v>
      </c>
      <c r="D195" s="193" t="s">
        <v>1177</v>
      </c>
      <c r="E195" s="201"/>
      <c r="F195" s="268">
        <v>132936</v>
      </c>
      <c r="G195" s="192"/>
      <c r="H195" s="192"/>
      <c r="I195" s="192"/>
      <c r="J195" s="192"/>
      <c r="K195" s="192"/>
      <c r="L195" s="192"/>
      <c r="M195" s="192"/>
      <c r="N195" s="192">
        <v>-12540</v>
      </c>
      <c r="O195" s="192"/>
      <c r="P195" s="192"/>
      <c r="Q195" s="223">
        <f t="shared" si="15"/>
        <v>-12540</v>
      </c>
      <c r="R195" s="778" t="s">
        <v>1295</v>
      </c>
    </row>
    <row r="196" spans="1:18" ht="17.399999999999999" hidden="1" customHeight="1" x14ac:dyDescent="0.25">
      <c r="A196" s="199"/>
      <c r="B196" s="199"/>
      <c r="C196" s="188" t="s">
        <v>894</v>
      </c>
      <c r="D196" s="193" t="s">
        <v>1180</v>
      </c>
      <c r="E196" s="200"/>
      <c r="F196" s="268">
        <v>134934</v>
      </c>
      <c r="G196" s="151"/>
      <c r="H196" s="151"/>
      <c r="I196" s="151"/>
      <c r="J196" s="151"/>
      <c r="K196" s="151"/>
      <c r="L196" s="151"/>
      <c r="M196" s="151"/>
      <c r="N196" s="151"/>
      <c r="O196" s="151"/>
      <c r="P196" s="151"/>
      <c r="Q196" s="223">
        <f t="shared" si="15"/>
        <v>0</v>
      </c>
      <c r="R196" s="706"/>
    </row>
    <row r="197" spans="1:18" ht="16.2" customHeight="1" x14ac:dyDescent="0.25">
      <c r="A197" s="757"/>
      <c r="B197" s="757"/>
      <c r="C197" s="765" t="s">
        <v>1298</v>
      </c>
      <c r="D197" s="763" t="s">
        <v>1299</v>
      </c>
      <c r="E197" s="640"/>
      <c r="F197" s="760">
        <v>132940</v>
      </c>
      <c r="G197" s="764"/>
      <c r="H197" s="764"/>
      <c r="I197" s="764"/>
      <c r="J197" s="764"/>
      <c r="K197" s="764"/>
      <c r="L197" s="764">
        <v>5718</v>
      </c>
      <c r="M197" s="764"/>
      <c r="N197" s="764"/>
      <c r="O197" s="764"/>
      <c r="P197" s="764"/>
      <c r="Q197" s="223">
        <f>SUM(G197:P197)</f>
        <v>5718</v>
      </c>
      <c r="R197" s="762" t="s">
        <v>1294</v>
      </c>
    </row>
    <row r="198" spans="1:18" ht="15" hidden="1" customHeight="1" x14ac:dyDescent="0.25">
      <c r="A198" s="199"/>
      <c r="B198" s="199"/>
      <c r="C198" s="367" t="s">
        <v>93</v>
      </c>
      <c r="D198" s="217" t="s">
        <v>476</v>
      </c>
      <c r="E198" s="200"/>
      <c r="F198" s="268"/>
      <c r="G198" s="192"/>
      <c r="H198" s="192"/>
      <c r="I198" s="192"/>
      <c r="J198" s="192"/>
      <c r="K198" s="192"/>
      <c r="L198" s="192"/>
      <c r="M198" s="192"/>
      <c r="N198" s="192"/>
      <c r="O198" s="192"/>
      <c r="P198" s="192"/>
      <c r="Q198" s="223"/>
      <c r="R198" s="706"/>
    </row>
    <row r="199" spans="1:18" ht="15" hidden="1" customHeight="1" x14ac:dyDescent="0.25">
      <c r="A199" s="199"/>
      <c r="B199" s="199"/>
      <c r="C199" s="284" t="s">
        <v>477</v>
      </c>
      <c r="D199" s="277" t="s">
        <v>479</v>
      </c>
      <c r="E199" s="200"/>
      <c r="F199" s="268">
        <v>134926</v>
      </c>
      <c r="G199" s="192"/>
      <c r="H199" s="192"/>
      <c r="I199" s="192"/>
      <c r="J199" s="192"/>
      <c r="K199" s="192"/>
      <c r="L199" s="192"/>
      <c r="M199" s="192"/>
      <c r="N199" s="192"/>
      <c r="O199" s="192"/>
      <c r="P199" s="192"/>
      <c r="Q199" s="223">
        <f t="shared" ref="Q199:Q207" si="16">SUM(G199:P199)</f>
        <v>0</v>
      </c>
      <c r="R199" s="706"/>
    </row>
    <row r="200" spans="1:18" ht="15" hidden="1" customHeight="1" x14ac:dyDescent="0.25">
      <c r="A200" s="576"/>
      <c r="B200" s="576"/>
      <c r="C200" s="284" t="s">
        <v>478</v>
      </c>
      <c r="D200" s="584" t="s">
        <v>1175</v>
      </c>
      <c r="E200" s="585"/>
      <c r="F200" s="586">
        <v>132935</v>
      </c>
      <c r="G200" s="511"/>
      <c r="H200" s="511"/>
      <c r="I200" s="511"/>
      <c r="J200" s="511"/>
      <c r="K200" s="511"/>
      <c r="L200" s="511"/>
      <c r="M200" s="511"/>
      <c r="N200" s="511"/>
      <c r="O200" s="511"/>
      <c r="P200" s="511"/>
      <c r="Q200" s="223">
        <f t="shared" si="16"/>
        <v>0</v>
      </c>
      <c r="R200" s="706"/>
    </row>
    <row r="201" spans="1:18" ht="24.75" hidden="1" customHeight="1" x14ac:dyDescent="0.25">
      <c r="A201" s="576"/>
      <c r="B201" s="576"/>
      <c r="C201" s="284" t="s">
        <v>601</v>
      </c>
      <c r="D201" s="580" t="s">
        <v>1165</v>
      </c>
      <c r="E201" s="574"/>
      <c r="F201" s="586">
        <v>134935</v>
      </c>
      <c r="G201" s="511"/>
      <c r="H201" s="511"/>
      <c r="I201" s="511"/>
      <c r="J201" s="511"/>
      <c r="K201" s="511"/>
      <c r="L201" s="511"/>
      <c r="M201" s="511"/>
      <c r="N201" s="511"/>
      <c r="O201" s="511"/>
      <c r="P201" s="511"/>
      <c r="Q201" s="223">
        <f t="shared" si="16"/>
        <v>0</v>
      </c>
      <c r="R201" s="706"/>
    </row>
    <row r="202" spans="1:18" ht="19.5" hidden="1" customHeight="1" x14ac:dyDescent="0.25">
      <c r="A202" s="576"/>
      <c r="B202" s="576"/>
      <c r="C202" s="284" t="s">
        <v>1003</v>
      </c>
      <c r="D202" s="580" t="s">
        <v>1179</v>
      </c>
      <c r="E202" s="574"/>
      <c r="F202" s="586">
        <v>134952</v>
      </c>
      <c r="G202" s="511"/>
      <c r="H202" s="511"/>
      <c r="I202" s="511"/>
      <c r="J202" s="511"/>
      <c r="K202" s="511"/>
      <c r="L202" s="511"/>
      <c r="M202" s="511"/>
      <c r="N202" s="511"/>
      <c r="O202" s="511"/>
      <c r="P202" s="511"/>
      <c r="Q202" s="223">
        <f t="shared" si="16"/>
        <v>0</v>
      </c>
      <c r="R202" s="706"/>
    </row>
    <row r="203" spans="1:18" ht="18" hidden="1" customHeight="1" x14ac:dyDescent="0.25">
      <c r="A203" s="576"/>
      <c r="B203" s="576"/>
      <c r="C203" s="284" t="s">
        <v>1203</v>
      </c>
      <c r="D203" s="580" t="s">
        <v>1176</v>
      </c>
      <c r="E203" s="574"/>
      <c r="F203" s="586">
        <v>132937</v>
      </c>
      <c r="G203" s="511"/>
      <c r="H203" s="511"/>
      <c r="I203" s="511"/>
      <c r="J203" s="511"/>
      <c r="K203" s="511"/>
      <c r="L203" s="511"/>
      <c r="M203" s="511"/>
      <c r="N203" s="511"/>
      <c r="O203" s="511"/>
      <c r="P203" s="511"/>
      <c r="Q203" s="223">
        <f t="shared" si="16"/>
        <v>0</v>
      </c>
      <c r="R203" s="706"/>
    </row>
    <row r="204" spans="1:18" ht="18" hidden="1" customHeight="1" x14ac:dyDescent="0.25">
      <c r="A204" s="576"/>
      <c r="B204" s="576"/>
      <c r="C204" s="284" t="s">
        <v>1229</v>
      </c>
      <c r="D204" s="580" t="s">
        <v>1230</v>
      </c>
      <c r="E204" s="574"/>
      <c r="F204" s="586">
        <v>132938</v>
      </c>
      <c r="G204" s="511"/>
      <c r="H204" s="511"/>
      <c r="I204" s="511"/>
      <c r="J204" s="511"/>
      <c r="K204" s="511"/>
      <c r="L204" s="511"/>
      <c r="M204" s="511"/>
      <c r="N204" s="511"/>
      <c r="O204" s="511"/>
      <c r="P204" s="511"/>
      <c r="Q204" s="223">
        <f t="shared" si="16"/>
        <v>0</v>
      </c>
      <c r="R204" s="706"/>
    </row>
    <row r="205" spans="1:18" ht="18.75" customHeight="1" x14ac:dyDescent="0.25">
      <c r="A205" s="199"/>
      <c r="B205" s="199"/>
      <c r="C205" s="199" t="s">
        <v>94</v>
      </c>
      <c r="D205" s="368" t="s">
        <v>866</v>
      </c>
      <c r="E205" s="200"/>
      <c r="F205" s="151"/>
      <c r="G205" s="192"/>
      <c r="H205" s="192"/>
      <c r="I205" s="192"/>
      <c r="J205" s="192"/>
      <c r="K205" s="192"/>
      <c r="L205" s="192"/>
      <c r="M205" s="192"/>
      <c r="N205" s="192"/>
      <c r="O205" s="192"/>
      <c r="P205" s="192"/>
      <c r="Q205" s="223"/>
      <c r="R205" s="706"/>
    </row>
    <row r="206" spans="1:18" ht="18.75" hidden="1" customHeight="1" x14ac:dyDescent="0.25">
      <c r="A206" s="199"/>
      <c r="B206" s="199"/>
      <c r="C206" s="172" t="s">
        <v>605</v>
      </c>
      <c r="D206" s="369" t="s">
        <v>1181</v>
      </c>
      <c r="E206" s="200"/>
      <c r="F206" s="268">
        <v>134954</v>
      </c>
      <c r="G206" s="192"/>
      <c r="H206" s="192"/>
      <c r="I206" s="192"/>
      <c r="J206" s="192"/>
      <c r="K206" s="192"/>
      <c r="L206" s="192"/>
      <c r="M206" s="192"/>
      <c r="N206" s="192"/>
      <c r="O206" s="192"/>
      <c r="P206" s="192"/>
      <c r="Q206" s="223">
        <f t="shared" si="16"/>
        <v>0</v>
      </c>
      <c r="R206" s="706"/>
    </row>
    <row r="207" spans="1:18" ht="18.75" customHeight="1" x14ac:dyDescent="0.25">
      <c r="A207" s="757"/>
      <c r="B207" s="757"/>
      <c r="C207" s="758" t="s">
        <v>1320</v>
      </c>
      <c r="D207" s="824" t="s">
        <v>1321</v>
      </c>
      <c r="E207" s="640"/>
      <c r="F207" s="760">
        <v>134955</v>
      </c>
      <c r="G207" s="761"/>
      <c r="H207" s="761"/>
      <c r="I207" s="761"/>
      <c r="J207" s="761"/>
      <c r="K207" s="761"/>
      <c r="L207" s="761"/>
      <c r="M207" s="761"/>
      <c r="N207" s="761">
        <v>2250</v>
      </c>
      <c r="O207" s="761"/>
      <c r="P207" s="761"/>
      <c r="Q207" s="223">
        <f t="shared" si="16"/>
        <v>2250</v>
      </c>
      <c r="R207" s="762" t="s">
        <v>1295</v>
      </c>
    </row>
    <row r="208" spans="1:18" ht="15" customHeight="1" x14ac:dyDescent="0.25">
      <c r="A208" s="199"/>
      <c r="B208" s="199"/>
      <c r="C208" s="217" t="s">
        <v>81</v>
      </c>
      <c r="D208" s="186" t="s">
        <v>1026</v>
      </c>
      <c r="E208" s="201"/>
      <c r="F208" s="202"/>
      <c r="G208" s="192"/>
      <c r="H208" s="192"/>
      <c r="I208" s="192"/>
      <c r="J208" s="192"/>
      <c r="K208" s="192"/>
      <c r="L208" s="192"/>
      <c r="M208" s="192"/>
      <c r="N208" s="192"/>
      <c r="O208" s="192"/>
      <c r="P208" s="192"/>
      <c r="Q208" s="223"/>
      <c r="R208" s="706"/>
    </row>
    <row r="209" spans="1:18" ht="36" hidden="1" customHeight="1" x14ac:dyDescent="0.25">
      <c r="A209" s="199"/>
      <c r="B209" s="199"/>
      <c r="C209" s="188" t="s">
        <v>481</v>
      </c>
      <c r="D209" s="362" t="s">
        <v>892</v>
      </c>
      <c r="E209" s="200"/>
      <c r="F209" s="151">
        <v>132903</v>
      </c>
      <c r="G209" s="192"/>
      <c r="H209" s="192"/>
      <c r="I209" s="192"/>
      <c r="J209" s="192"/>
      <c r="K209" s="192"/>
      <c r="L209" s="192"/>
      <c r="M209" s="192"/>
      <c r="N209" s="192"/>
      <c r="O209" s="192"/>
      <c r="P209" s="192"/>
      <c r="Q209" s="223">
        <f t="shared" ref="Q209:Q218" si="17">SUM(G209:P209)</f>
        <v>0</v>
      </c>
      <c r="R209" s="706"/>
    </row>
    <row r="210" spans="1:18" ht="24" hidden="1" customHeight="1" x14ac:dyDescent="0.25">
      <c r="A210" s="199"/>
      <c r="B210" s="199"/>
      <c r="C210" s="188" t="s">
        <v>482</v>
      </c>
      <c r="D210" s="366" t="s">
        <v>1101</v>
      </c>
      <c r="E210" s="200"/>
      <c r="F210" s="151">
        <v>134930</v>
      </c>
      <c r="G210" s="192"/>
      <c r="H210" s="192"/>
      <c r="I210" s="192"/>
      <c r="J210" s="192"/>
      <c r="K210" s="192"/>
      <c r="L210" s="192"/>
      <c r="M210" s="192"/>
      <c r="N210" s="192"/>
      <c r="O210" s="192"/>
      <c r="P210" s="192"/>
      <c r="Q210" s="223">
        <f t="shared" si="17"/>
        <v>0</v>
      </c>
      <c r="R210" s="706"/>
    </row>
    <row r="211" spans="1:18" ht="19.5" customHeight="1" x14ac:dyDescent="0.25">
      <c r="A211" s="199"/>
      <c r="B211" s="199"/>
      <c r="C211" s="188" t="s">
        <v>483</v>
      </c>
      <c r="D211" s="366" t="s">
        <v>868</v>
      </c>
      <c r="E211" s="200"/>
      <c r="F211" s="151">
        <v>132933</v>
      </c>
      <c r="G211" s="192"/>
      <c r="H211" s="192"/>
      <c r="I211" s="192">
        <v>1401</v>
      </c>
      <c r="J211" s="192"/>
      <c r="K211" s="192"/>
      <c r="L211" s="192"/>
      <c r="M211" s="192"/>
      <c r="N211" s="192"/>
      <c r="O211" s="192"/>
      <c r="P211" s="192"/>
      <c r="Q211" s="223">
        <f t="shared" si="17"/>
        <v>1401</v>
      </c>
      <c r="R211" s="706" t="s">
        <v>1295</v>
      </c>
    </row>
    <row r="212" spans="1:18" ht="19.5" hidden="1" customHeight="1" x14ac:dyDescent="0.25">
      <c r="A212" s="199"/>
      <c r="B212" s="199"/>
      <c r="C212" s="188" t="s">
        <v>1027</v>
      </c>
      <c r="D212" s="366" t="s">
        <v>1028</v>
      </c>
      <c r="E212" s="200"/>
      <c r="F212" s="151">
        <v>134965</v>
      </c>
      <c r="G212" s="192"/>
      <c r="H212" s="192"/>
      <c r="I212" s="192"/>
      <c r="J212" s="192"/>
      <c r="K212" s="192"/>
      <c r="L212" s="192"/>
      <c r="M212" s="192"/>
      <c r="N212" s="192"/>
      <c r="O212" s="192"/>
      <c r="P212" s="192"/>
      <c r="Q212" s="223">
        <f t="shared" si="17"/>
        <v>0</v>
      </c>
      <c r="R212" s="706"/>
    </row>
    <row r="213" spans="1:18" ht="19.5" hidden="1" customHeight="1" x14ac:dyDescent="0.25">
      <c r="A213" s="199"/>
      <c r="B213" s="199"/>
      <c r="C213" s="188" t="s">
        <v>1029</v>
      </c>
      <c r="D213" s="246" t="s">
        <v>1030</v>
      </c>
      <c r="E213" s="201"/>
      <c r="F213" s="151">
        <v>132919</v>
      </c>
      <c r="G213" s="192"/>
      <c r="H213" s="192"/>
      <c r="I213" s="192"/>
      <c r="J213" s="192"/>
      <c r="K213" s="192"/>
      <c r="L213" s="192"/>
      <c r="M213" s="192"/>
      <c r="N213" s="192"/>
      <c r="O213" s="192"/>
      <c r="P213" s="192"/>
      <c r="Q213" s="223">
        <f t="shared" si="17"/>
        <v>0</v>
      </c>
      <c r="R213" s="706"/>
    </row>
    <row r="214" spans="1:18" ht="27.75" hidden="1" customHeight="1" x14ac:dyDescent="0.25">
      <c r="A214" s="199"/>
      <c r="B214" s="199"/>
      <c r="C214" s="188" t="s">
        <v>1031</v>
      </c>
      <c r="D214" s="277" t="s">
        <v>1032</v>
      </c>
      <c r="E214" s="200"/>
      <c r="F214" s="151">
        <v>132925</v>
      </c>
      <c r="G214" s="192"/>
      <c r="H214" s="192"/>
      <c r="I214" s="192"/>
      <c r="J214" s="192"/>
      <c r="K214" s="192"/>
      <c r="L214" s="570"/>
      <c r="M214" s="192"/>
      <c r="N214" s="192"/>
      <c r="O214" s="192"/>
      <c r="P214" s="192"/>
      <c r="Q214" s="223">
        <f t="shared" si="17"/>
        <v>0</v>
      </c>
      <c r="R214" s="706"/>
    </row>
    <row r="215" spans="1:18" ht="19.5" hidden="1" customHeight="1" x14ac:dyDescent="0.25">
      <c r="A215" s="199"/>
      <c r="B215" s="199"/>
      <c r="C215" s="188" t="s">
        <v>1033</v>
      </c>
      <c r="D215" s="277" t="s">
        <v>1034</v>
      </c>
      <c r="E215" s="200"/>
      <c r="F215" s="151">
        <v>134901</v>
      </c>
      <c r="G215" s="192"/>
      <c r="H215" s="192"/>
      <c r="I215" s="192"/>
      <c r="J215" s="192"/>
      <c r="K215" s="192"/>
      <c r="L215" s="192"/>
      <c r="M215" s="192"/>
      <c r="N215" s="192"/>
      <c r="O215" s="192"/>
      <c r="P215" s="192"/>
      <c r="Q215" s="223">
        <f t="shared" si="17"/>
        <v>0</v>
      </c>
      <c r="R215" s="706"/>
    </row>
    <row r="216" spans="1:18" ht="19.5" customHeight="1" x14ac:dyDescent="0.25">
      <c r="A216" s="199"/>
      <c r="B216" s="199"/>
      <c r="C216" s="188" t="s">
        <v>1035</v>
      </c>
      <c r="D216" s="277" t="s">
        <v>1036</v>
      </c>
      <c r="E216" s="200"/>
      <c r="F216" s="151">
        <v>134902</v>
      </c>
      <c r="G216" s="192"/>
      <c r="H216" s="192"/>
      <c r="I216" s="192">
        <v>1247</v>
      </c>
      <c r="J216" s="192"/>
      <c r="K216" s="192"/>
      <c r="L216" s="192"/>
      <c r="M216" s="192">
        <v>-1247</v>
      </c>
      <c r="N216" s="192"/>
      <c r="O216" s="192"/>
      <c r="P216" s="192"/>
      <c r="Q216" s="223">
        <f t="shared" si="17"/>
        <v>0</v>
      </c>
      <c r="R216" s="706" t="s">
        <v>1295</v>
      </c>
    </row>
    <row r="217" spans="1:18" ht="19.5" customHeight="1" x14ac:dyDescent="0.25">
      <c r="A217" s="199"/>
      <c r="B217" s="199"/>
      <c r="C217" s="188" t="s">
        <v>1037</v>
      </c>
      <c r="D217" s="882" t="s">
        <v>1038</v>
      </c>
      <c r="E217" s="883"/>
      <c r="F217" s="151">
        <v>132999</v>
      </c>
      <c r="G217" s="192"/>
      <c r="H217" s="192"/>
      <c r="I217" s="192"/>
      <c r="J217" s="192"/>
      <c r="K217" s="192"/>
      <c r="L217" s="192">
        <v>387</v>
      </c>
      <c r="M217" s="192"/>
      <c r="N217" s="192"/>
      <c r="O217" s="192"/>
      <c r="P217" s="192"/>
      <c r="Q217" s="223">
        <f t="shared" si="17"/>
        <v>387</v>
      </c>
      <c r="R217" s="706" t="s">
        <v>1294</v>
      </c>
    </row>
    <row r="218" spans="1:18" ht="25.5" hidden="1" customHeight="1" x14ac:dyDescent="0.25">
      <c r="A218" s="199"/>
      <c r="B218" s="199"/>
      <c r="C218" s="188" t="s">
        <v>1039</v>
      </c>
      <c r="D218" s="277" t="s">
        <v>484</v>
      </c>
      <c r="E218" s="370"/>
      <c r="F218" s="151">
        <v>134927</v>
      </c>
      <c r="G218" s="192"/>
      <c r="H218" s="192"/>
      <c r="I218" s="192"/>
      <c r="J218" s="192"/>
      <c r="K218" s="192"/>
      <c r="L218" s="192"/>
      <c r="M218" s="192"/>
      <c r="N218" s="192"/>
      <c r="O218" s="192"/>
      <c r="P218" s="192"/>
      <c r="Q218" s="223">
        <f t="shared" si="17"/>
        <v>0</v>
      </c>
      <c r="R218" s="706"/>
    </row>
    <row r="219" spans="1:18" ht="18.75" customHeight="1" x14ac:dyDescent="0.25">
      <c r="A219" s="194"/>
      <c r="B219" s="194"/>
      <c r="C219" s="195"/>
      <c r="D219" s="196" t="s">
        <v>224</v>
      </c>
      <c r="E219" s="197"/>
      <c r="F219" s="198"/>
      <c r="G219" s="216">
        <f t="shared" ref="G219:Q219" si="18">SUM(G174:G218)</f>
        <v>412</v>
      </c>
      <c r="H219" s="216">
        <f t="shared" si="18"/>
        <v>54</v>
      </c>
      <c r="I219" s="216">
        <f t="shared" si="18"/>
        <v>-26675</v>
      </c>
      <c r="J219" s="216">
        <f t="shared" si="18"/>
        <v>0</v>
      </c>
      <c r="K219" s="216">
        <f t="shared" si="18"/>
        <v>28857</v>
      </c>
      <c r="L219" s="216">
        <f t="shared" si="18"/>
        <v>6105</v>
      </c>
      <c r="M219" s="216">
        <f t="shared" si="18"/>
        <v>1953</v>
      </c>
      <c r="N219" s="216">
        <f t="shared" si="18"/>
        <v>-12290</v>
      </c>
      <c r="O219" s="216">
        <f t="shared" si="18"/>
        <v>0</v>
      </c>
      <c r="P219" s="216">
        <f t="shared" si="18"/>
        <v>0</v>
      </c>
      <c r="Q219" s="216">
        <f t="shared" si="18"/>
        <v>-1584</v>
      </c>
      <c r="R219" s="707"/>
    </row>
    <row r="220" spans="1:18" ht="12.9" customHeight="1" x14ac:dyDescent="0.25">
      <c r="A220" s="199">
        <v>1</v>
      </c>
      <c r="B220" s="199">
        <v>14</v>
      </c>
      <c r="C220" s="217"/>
      <c r="D220" s="221" t="s">
        <v>184</v>
      </c>
      <c r="E220" s="201"/>
      <c r="F220" s="202"/>
      <c r="G220" s="202"/>
      <c r="H220" s="177"/>
      <c r="I220" s="177"/>
      <c r="J220" s="177"/>
      <c r="K220" s="177"/>
      <c r="L220" s="177"/>
      <c r="M220" s="202"/>
      <c r="N220" s="202"/>
      <c r="O220" s="202"/>
      <c r="P220" s="202"/>
      <c r="Q220" s="202"/>
      <c r="R220" s="706"/>
    </row>
    <row r="221" spans="1:18" ht="12.9" customHeight="1" x14ac:dyDescent="0.25">
      <c r="A221" s="199"/>
      <c r="B221" s="199"/>
      <c r="C221" s="217"/>
      <c r="D221" s="189" t="s">
        <v>225</v>
      </c>
      <c r="E221" s="201"/>
      <c r="F221" s="202"/>
      <c r="G221" s="202"/>
      <c r="H221" s="177"/>
      <c r="I221" s="177"/>
      <c r="J221" s="177"/>
      <c r="K221" s="177"/>
      <c r="L221" s="177"/>
      <c r="M221" s="202"/>
      <c r="N221" s="202"/>
      <c r="O221" s="202"/>
      <c r="P221" s="202"/>
      <c r="Q221" s="202"/>
      <c r="R221" s="706"/>
    </row>
    <row r="222" spans="1:18" ht="12.9" hidden="1" customHeight="1" x14ac:dyDescent="0.25">
      <c r="A222" s="199"/>
      <c r="B222" s="199"/>
      <c r="C222" s="217"/>
      <c r="D222" s="186" t="s">
        <v>485</v>
      </c>
      <c r="E222" s="151">
        <v>1</v>
      </c>
      <c r="F222" s="151">
        <v>171918</v>
      </c>
      <c r="G222" s="151"/>
      <c r="H222" s="151"/>
      <c r="I222" s="177"/>
      <c r="J222" s="151"/>
      <c r="K222" s="151"/>
      <c r="L222" s="151"/>
      <c r="M222" s="151"/>
      <c r="N222" s="151"/>
      <c r="O222" s="151"/>
      <c r="P222" s="151"/>
      <c r="Q222" s="151">
        <f>SUM(G222:P222)</f>
        <v>0</v>
      </c>
      <c r="R222" s="706"/>
    </row>
    <row r="223" spans="1:18" ht="30" customHeight="1" x14ac:dyDescent="0.25">
      <c r="A223" s="199"/>
      <c r="B223" s="199"/>
      <c r="C223" s="217"/>
      <c r="D223" s="193" t="s">
        <v>486</v>
      </c>
      <c r="E223" s="151">
        <v>1</v>
      </c>
      <c r="F223" s="151">
        <v>171922</v>
      </c>
      <c r="G223" s="151"/>
      <c r="H223" s="151"/>
      <c r="I223" s="177">
        <v>-1000</v>
      </c>
      <c r="J223" s="151"/>
      <c r="K223" s="151"/>
      <c r="L223" s="151"/>
      <c r="M223" s="151"/>
      <c r="N223" s="151"/>
      <c r="O223" s="151"/>
      <c r="P223" s="151"/>
      <c r="Q223" s="151">
        <f>SUM(G223:P223)</f>
        <v>-1000</v>
      </c>
      <c r="R223" s="706" t="s">
        <v>1295</v>
      </c>
    </row>
    <row r="224" spans="1:18" ht="12.9" hidden="1" customHeight="1" x14ac:dyDescent="0.25">
      <c r="A224" s="199"/>
      <c r="B224" s="199"/>
      <c r="C224" s="217"/>
      <c r="D224" s="186" t="s">
        <v>487</v>
      </c>
      <c r="E224" s="151">
        <v>1</v>
      </c>
      <c r="F224" s="151">
        <v>171926</v>
      </c>
      <c r="G224" s="151"/>
      <c r="H224" s="151"/>
      <c r="I224" s="177"/>
      <c r="J224" s="151"/>
      <c r="K224" s="151"/>
      <c r="L224" s="151"/>
      <c r="M224" s="151"/>
      <c r="N224" s="151"/>
      <c r="O224" s="151"/>
      <c r="P224" s="151"/>
      <c r="Q224" s="151">
        <f>SUM(G224:P224)</f>
        <v>0</v>
      </c>
      <c r="R224" s="706"/>
    </row>
    <row r="225" spans="1:18" ht="12.9" customHeight="1" x14ac:dyDescent="0.25">
      <c r="A225" s="199"/>
      <c r="B225" s="199"/>
      <c r="C225" s="217"/>
      <c r="D225" s="186" t="s">
        <v>488</v>
      </c>
      <c r="E225" s="151">
        <v>1</v>
      </c>
      <c r="F225" s="151">
        <v>171967</v>
      </c>
      <c r="G225" s="151"/>
      <c r="H225" s="151"/>
      <c r="I225" s="177">
        <v>167</v>
      </c>
      <c r="J225" s="151"/>
      <c r="K225" s="151"/>
      <c r="L225" s="151"/>
      <c r="M225" s="151"/>
      <c r="N225" s="151"/>
      <c r="O225" s="151"/>
      <c r="P225" s="151"/>
      <c r="Q225" s="151">
        <f>SUM(G225:P225)</f>
        <v>167</v>
      </c>
      <c r="R225" s="706" t="s">
        <v>1294</v>
      </c>
    </row>
    <row r="226" spans="1:18" ht="12.9" customHeight="1" x14ac:dyDescent="0.25">
      <c r="A226" s="194"/>
      <c r="B226" s="194"/>
      <c r="C226" s="195"/>
      <c r="D226" s="196" t="s">
        <v>489</v>
      </c>
      <c r="E226" s="226"/>
      <c r="F226" s="227"/>
      <c r="G226" s="228">
        <f t="shared" ref="G226:Q226" si="19">SUM(G222:G225)</f>
        <v>0</v>
      </c>
      <c r="H226" s="228">
        <f t="shared" si="19"/>
        <v>0</v>
      </c>
      <c r="I226" s="228">
        <f t="shared" si="19"/>
        <v>-833</v>
      </c>
      <c r="J226" s="228">
        <f t="shared" si="19"/>
        <v>0</v>
      </c>
      <c r="K226" s="228">
        <f t="shared" si="19"/>
        <v>0</v>
      </c>
      <c r="L226" s="228">
        <f t="shared" si="19"/>
        <v>0</v>
      </c>
      <c r="M226" s="228">
        <f t="shared" si="19"/>
        <v>0</v>
      </c>
      <c r="N226" s="228">
        <f t="shared" si="19"/>
        <v>0</v>
      </c>
      <c r="O226" s="228">
        <f t="shared" si="19"/>
        <v>0</v>
      </c>
      <c r="P226" s="228">
        <f t="shared" si="19"/>
        <v>0</v>
      </c>
      <c r="Q226" s="228">
        <f t="shared" si="19"/>
        <v>-833</v>
      </c>
      <c r="R226" s="707"/>
    </row>
    <row r="227" spans="1:18" ht="12.9" customHeight="1" x14ac:dyDescent="0.25">
      <c r="A227" s="199"/>
      <c r="B227" s="199"/>
      <c r="C227" s="217"/>
      <c r="D227" s="218" t="s">
        <v>490</v>
      </c>
      <c r="E227" s="200"/>
      <c r="F227" s="151"/>
      <c r="G227" s="177"/>
      <c r="H227" s="177"/>
      <c r="I227" s="177"/>
      <c r="J227" s="177"/>
      <c r="K227" s="177"/>
      <c r="L227" s="177"/>
      <c r="M227" s="177"/>
      <c r="N227" s="177"/>
      <c r="O227" s="177"/>
      <c r="P227" s="177"/>
      <c r="Q227" s="177"/>
      <c r="R227" s="706"/>
    </row>
    <row r="228" spans="1:18" ht="12.9" hidden="1" customHeight="1" x14ac:dyDescent="0.25">
      <c r="A228" s="199"/>
      <c r="B228" s="199"/>
      <c r="C228" s="371"/>
      <c r="D228" s="186" t="s">
        <v>1026</v>
      </c>
      <c r="E228" s="248"/>
      <c r="F228" s="151"/>
      <c r="G228" s="177"/>
      <c r="H228" s="177"/>
      <c r="I228" s="177"/>
      <c r="J228" s="177"/>
      <c r="K228" s="177"/>
      <c r="L228" s="177"/>
      <c r="M228" s="177"/>
      <c r="N228" s="177"/>
      <c r="O228" s="177"/>
      <c r="P228" s="177"/>
      <c r="Q228" s="177"/>
      <c r="R228" s="706"/>
    </row>
    <row r="229" spans="1:18" ht="12.9" hidden="1" customHeight="1" x14ac:dyDescent="0.25">
      <c r="A229" s="199"/>
      <c r="B229" s="199"/>
      <c r="C229" s="284" t="s">
        <v>355</v>
      </c>
      <c r="D229" s="358" t="s">
        <v>491</v>
      </c>
      <c r="E229" s="248"/>
      <c r="F229" s="151">
        <v>162650</v>
      </c>
      <c r="G229" s="177"/>
      <c r="H229" s="177"/>
      <c r="I229" s="177"/>
      <c r="J229" s="177"/>
      <c r="K229" s="177"/>
      <c r="L229" s="177"/>
      <c r="M229" s="177"/>
      <c r="N229" s="177"/>
      <c r="O229" s="177"/>
      <c r="P229" s="177"/>
      <c r="Q229" s="177">
        <f>SUM(G229:P229)</f>
        <v>0</v>
      </c>
      <c r="R229" s="706"/>
    </row>
    <row r="230" spans="1:18" ht="12.9" hidden="1" customHeight="1" x14ac:dyDescent="0.25">
      <c r="A230" s="199"/>
      <c r="B230" s="199"/>
      <c r="C230" s="284" t="s">
        <v>357</v>
      </c>
      <c r="D230" s="372" t="s">
        <v>492</v>
      </c>
      <c r="E230" s="248"/>
      <c r="F230" s="151">
        <v>164903</v>
      </c>
      <c r="G230" s="177"/>
      <c r="H230" s="177"/>
      <c r="I230" s="177"/>
      <c r="J230" s="177"/>
      <c r="K230" s="177"/>
      <c r="L230" s="177"/>
      <c r="M230" s="177"/>
      <c r="N230" s="177"/>
      <c r="O230" s="177"/>
      <c r="P230" s="177"/>
      <c r="Q230" s="177">
        <f>SUM(G230:P230)</f>
        <v>0</v>
      </c>
      <c r="R230" s="706"/>
    </row>
    <row r="231" spans="1:18" ht="12.9" customHeight="1" x14ac:dyDescent="0.25">
      <c r="A231" s="194"/>
      <c r="B231" s="194"/>
      <c r="C231" s="195"/>
      <c r="D231" s="196" t="s">
        <v>227</v>
      </c>
      <c r="E231" s="226"/>
      <c r="F231" s="227"/>
      <c r="G231" s="228">
        <f t="shared" ref="G231:Q231" si="20">SUM(G226:G230)</f>
        <v>0</v>
      </c>
      <c r="H231" s="228">
        <f t="shared" si="20"/>
        <v>0</v>
      </c>
      <c r="I231" s="228">
        <f t="shared" si="20"/>
        <v>-833</v>
      </c>
      <c r="J231" s="228">
        <f t="shared" si="20"/>
        <v>0</v>
      </c>
      <c r="K231" s="228">
        <f t="shared" si="20"/>
        <v>0</v>
      </c>
      <c r="L231" s="228">
        <f t="shared" si="20"/>
        <v>0</v>
      </c>
      <c r="M231" s="228">
        <f t="shared" si="20"/>
        <v>0</v>
      </c>
      <c r="N231" s="228">
        <f t="shared" si="20"/>
        <v>0</v>
      </c>
      <c r="O231" s="228">
        <f t="shared" si="20"/>
        <v>0</v>
      </c>
      <c r="P231" s="228">
        <f t="shared" si="20"/>
        <v>0</v>
      </c>
      <c r="Q231" s="228">
        <f t="shared" si="20"/>
        <v>-833</v>
      </c>
      <c r="R231" s="707"/>
    </row>
    <row r="232" spans="1:18" ht="14.1" customHeight="1" x14ac:dyDescent="0.25">
      <c r="A232" s="172">
        <v>1</v>
      </c>
      <c r="B232" s="172">
        <v>15</v>
      </c>
      <c r="C232" s="188"/>
      <c r="D232" s="221" t="s">
        <v>493</v>
      </c>
      <c r="E232" s="200"/>
      <c r="F232" s="151"/>
      <c r="G232" s="151"/>
      <c r="H232" s="177"/>
      <c r="I232" s="177"/>
      <c r="J232" s="177"/>
      <c r="K232" s="177"/>
      <c r="L232" s="177"/>
      <c r="M232" s="151"/>
      <c r="N232" s="151"/>
      <c r="O232" s="151"/>
      <c r="P232" s="151"/>
      <c r="Q232" s="151"/>
      <c r="R232" s="706"/>
    </row>
    <row r="233" spans="1:18" ht="14.1" hidden="1" customHeight="1" x14ac:dyDescent="0.25">
      <c r="A233" s="172"/>
      <c r="B233" s="172"/>
      <c r="C233" s="188"/>
      <c r="D233" s="373" t="s">
        <v>494</v>
      </c>
      <c r="E233" s="200"/>
      <c r="F233" s="151"/>
      <c r="G233" s="151"/>
      <c r="H233" s="177"/>
      <c r="I233" s="177"/>
      <c r="J233" s="177"/>
      <c r="K233" s="177"/>
      <c r="L233" s="177"/>
      <c r="M233" s="151"/>
      <c r="N233" s="151"/>
      <c r="O233" s="151"/>
      <c r="P233" s="151"/>
      <c r="Q233" s="151"/>
      <c r="R233" s="706"/>
    </row>
    <row r="234" spans="1:18" ht="15" hidden="1" customHeight="1" x14ac:dyDescent="0.25">
      <c r="A234" s="172"/>
      <c r="B234" s="172"/>
      <c r="C234" s="188"/>
      <c r="D234" s="186" t="s">
        <v>495</v>
      </c>
      <c r="E234" s="151">
        <v>1</v>
      </c>
      <c r="F234" s="151">
        <v>151502</v>
      </c>
      <c r="G234" s="151"/>
      <c r="H234" s="151"/>
      <c r="I234" s="151"/>
      <c r="J234" s="151"/>
      <c r="K234" s="151"/>
      <c r="L234" s="151"/>
      <c r="M234" s="151"/>
      <c r="N234" s="151"/>
      <c r="O234" s="151"/>
      <c r="P234" s="151"/>
      <c r="Q234" s="151">
        <f t="shared" ref="Q234:Q257" si="21">SUM(G234:P234)</f>
        <v>0</v>
      </c>
      <c r="R234" s="706"/>
    </row>
    <row r="235" spans="1:18" ht="15.75" hidden="1" customHeight="1" x14ac:dyDescent="0.25">
      <c r="A235" s="172"/>
      <c r="B235" s="172"/>
      <c r="C235" s="188"/>
      <c r="D235" s="193" t="s">
        <v>862</v>
      </c>
      <c r="E235" s="151">
        <v>1</v>
      </c>
      <c r="F235" s="151">
        <v>151530</v>
      </c>
      <c r="G235" s="151"/>
      <c r="H235" s="151"/>
      <c r="I235" s="151"/>
      <c r="J235" s="151"/>
      <c r="K235" s="151"/>
      <c r="L235" s="151"/>
      <c r="M235" s="151"/>
      <c r="N235" s="151"/>
      <c r="O235" s="151"/>
      <c r="P235" s="151"/>
      <c r="Q235" s="151">
        <f t="shared" si="21"/>
        <v>0</v>
      </c>
      <c r="R235" s="706"/>
    </row>
    <row r="236" spans="1:18" ht="14.1" hidden="1" customHeight="1" x14ac:dyDescent="0.25">
      <c r="A236" s="172"/>
      <c r="B236" s="172"/>
      <c r="C236" s="188"/>
      <c r="D236" s="186" t="s">
        <v>496</v>
      </c>
      <c r="E236" s="151">
        <v>1</v>
      </c>
      <c r="F236" s="151">
        <v>151504</v>
      </c>
      <c r="G236" s="151"/>
      <c r="H236" s="151"/>
      <c r="I236" s="151"/>
      <c r="J236" s="151"/>
      <c r="K236" s="151"/>
      <c r="L236" s="151"/>
      <c r="M236" s="151"/>
      <c r="N236" s="151"/>
      <c r="O236" s="151"/>
      <c r="P236" s="151"/>
      <c r="Q236" s="151">
        <f t="shared" si="21"/>
        <v>0</v>
      </c>
      <c r="R236" s="706"/>
    </row>
    <row r="237" spans="1:18" ht="14.1" hidden="1" customHeight="1" x14ac:dyDescent="0.25">
      <c r="A237" s="172"/>
      <c r="B237" s="172"/>
      <c r="C237" s="188"/>
      <c r="D237" s="185" t="s">
        <v>497</v>
      </c>
      <c r="E237" s="151">
        <v>1</v>
      </c>
      <c r="F237" s="151">
        <v>151501</v>
      </c>
      <c r="G237" s="151"/>
      <c r="H237" s="151"/>
      <c r="I237" s="151"/>
      <c r="J237" s="151"/>
      <c r="K237" s="151"/>
      <c r="L237" s="151"/>
      <c r="M237" s="151"/>
      <c r="N237" s="151"/>
      <c r="O237" s="151"/>
      <c r="P237" s="151"/>
      <c r="Q237" s="151">
        <f t="shared" si="21"/>
        <v>0</v>
      </c>
      <c r="R237" s="706"/>
    </row>
    <row r="238" spans="1:18" ht="14.1" hidden="1" customHeight="1" x14ac:dyDescent="0.25">
      <c r="A238" s="172"/>
      <c r="B238" s="172"/>
      <c r="C238" s="188"/>
      <c r="D238" s="185" t="s">
        <v>498</v>
      </c>
      <c r="E238" s="151">
        <v>1</v>
      </c>
      <c r="F238" s="151">
        <v>151905</v>
      </c>
      <c r="G238" s="151"/>
      <c r="H238" s="151"/>
      <c r="I238" s="151"/>
      <c r="J238" s="151"/>
      <c r="K238" s="151"/>
      <c r="L238" s="151"/>
      <c r="M238" s="151"/>
      <c r="N238" s="151"/>
      <c r="O238" s="151"/>
      <c r="P238" s="151"/>
      <c r="Q238" s="151">
        <f t="shared" si="21"/>
        <v>0</v>
      </c>
      <c r="R238" s="706"/>
    </row>
    <row r="239" spans="1:18" ht="14.1" hidden="1" customHeight="1" x14ac:dyDescent="0.25">
      <c r="A239" s="172"/>
      <c r="B239" s="172"/>
      <c r="C239" s="188"/>
      <c r="D239" s="185" t="s">
        <v>499</v>
      </c>
      <c r="E239" s="151">
        <v>1</v>
      </c>
      <c r="F239" s="151">
        <v>151920</v>
      </c>
      <c r="G239" s="151"/>
      <c r="H239" s="151"/>
      <c r="I239" s="151"/>
      <c r="J239" s="151"/>
      <c r="K239" s="151"/>
      <c r="L239" s="151"/>
      <c r="M239" s="151"/>
      <c r="N239" s="151"/>
      <c r="O239" s="151"/>
      <c r="P239" s="151"/>
      <c r="Q239" s="151">
        <f t="shared" si="21"/>
        <v>0</v>
      </c>
      <c r="R239" s="706"/>
    </row>
    <row r="240" spans="1:18" ht="14.1" hidden="1" customHeight="1" x14ac:dyDescent="0.25">
      <c r="A240" s="172"/>
      <c r="B240" s="172"/>
      <c r="C240" s="188"/>
      <c r="D240" s="185" t="s">
        <v>500</v>
      </c>
      <c r="E240" s="151">
        <v>1</v>
      </c>
      <c r="F240" s="151">
        <v>151917</v>
      </c>
      <c r="G240" s="151"/>
      <c r="H240" s="151"/>
      <c r="I240" s="151"/>
      <c r="J240" s="151"/>
      <c r="K240" s="151"/>
      <c r="L240" s="151"/>
      <c r="M240" s="151"/>
      <c r="N240" s="151"/>
      <c r="O240" s="151"/>
      <c r="P240" s="151"/>
      <c r="Q240" s="151">
        <f t="shared" si="21"/>
        <v>0</v>
      </c>
      <c r="R240" s="706"/>
    </row>
    <row r="241" spans="1:18" ht="15" hidden="1" customHeight="1" x14ac:dyDescent="0.25">
      <c r="A241" s="172"/>
      <c r="B241" s="172"/>
      <c r="C241" s="188"/>
      <c r="D241" s="185" t="s">
        <v>501</v>
      </c>
      <c r="E241" s="151">
        <v>2</v>
      </c>
      <c r="F241" s="151">
        <v>151503</v>
      </c>
      <c r="G241" s="151"/>
      <c r="H241" s="151"/>
      <c r="I241" s="151"/>
      <c r="J241" s="151"/>
      <c r="K241" s="151"/>
      <c r="L241" s="151"/>
      <c r="M241" s="151"/>
      <c r="N241" s="151"/>
      <c r="O241" s="151"/>
      <c r="P241" s="151"/>
      <c r="Q241" s="151">
        <f t="shared" si="21"/>
        <v>0</v>
      </c>
      <c r="R241" s="706"/>
    </row>
    <row r="242" spans="1:18" ht="15" hidden="1" customHeight="1" x14ac:dyDescent="0.25">
      <c r="A242" s="172"/>
      <c r="B242" s="172"/>
      <c r="C242" s="188"/>
      <c r="D242" s="374" t="s">
        <v>502</v>
      </c>
      <c r="E242" s="151">
        <v>2</v>
      </c>
      <c r="F242" s="151">
        <v>151922</v>
      </c>
      <c r="G242" s="151"/>
      <c r="H242" s="151"/>
      <c r="I242" s="151"/>
      <c r="J242" s="151"/>
      <c r="K242" s="151"/>
      <c r="L242" s="151"/>
      <c r="M242" s="151"/>
      <c r="N242" s="151"/>
      <c r="O242" s="151"/>
      <c r="P242" s="151"/>
      <c r="Q242" s="151">
        <f t="shared" si="21"/>
        <v>0</v>
      </c>
      <c r="R242" s="706"/>
    </row>
    <row r="243" spans="1:18" ht="15" hidden="1" customHeight="1" x14ac:dyDescent="0.25">
      <c r="A243" s="172"/>
      <c r="B243" s="172"/>
      <c r="C243" s="188"/>
      <c r="D243" s="185" t="s">
        <v>503</v>
      </c>
      <c r="E243" s="151">
        <v>2</v>
      </c>
      <c r="F243" s="151">
        <v>151507</v>
      </c>
      <c r="G243" s="151"/>
      <c r="H243" s="151"/>
      <c r="I243" s="151"/>
      <c r="J243" s="151"/>
      <c r="K243" s="151"/>
      <c r="L243" s="151"/>
      <c r="M243" s="151"/>
      <c r="N243" s="151"/>
      <c r="O243" s="151"/>
      <c r="P243" s="151"/>
      <c r="Q243" s="151">
        <f t="shared" si="21"/>
        <v>0</v>
      </c>
      <c r="R243" s="706"/>
    </row>
    <row r="244" spans="1:18" ht="15" hidden="1" customHeight="1" x14ac:dyDescent="0.25">
      <c r="A244" s="172"/>
      <c r="B244" s="172"/>
      <c r="C244" s="188"/>
      <c r="D244" s="185" t="s">
        <v>504</v>
      </c>
      <c r="E244" s="151">
        <v>2</v>
      </c>
      <c r="F244" s="151">
        <v>151509</v>
      </c>
      <c r="G244" s="151"/>
      <c r="H244" s="151"/>
      <c r="I244" s="151"/>
      <c r="J244" s="151"/>
      <c r="K244" s="151"/>
      <c r="L244" s="151"/>
      <c r="M244" s="151"/>
      <c r="N244" s="151"/>
      <c r="O244" s="151"/>
      <c r="P244" s="151"/>
      <c r="Q244" s="151">
        <f t="shared" si="21"/>
        <v>0</v>
      </c>
      <c r="R244" s="706"/>
    </row>
    <row r="245" spans="1:18" ht="15" hidden="1" customHeight="1" x14ac:dyDescent="0.25">
      <c r="A245" s="172"/>
      <c r="B245" s="172"/>
      <c r="C245" s="188"/>
      <c r="D245" s="185" t="s">
        <v>505</v>
      </c>
      <c r="E245" s="151">
        <v>1</v>
      </c>
      <c r="F245" s="151">
        <v>151510</v>
      </c>
      <c r="G245" s="151"/>
      <c r="H245" s="151"/>
      <c r="I245" s="151"/>
      <c r="J245" s="151"/>
      <c r="K245" s="151"/>
      <c r="L245" s="151"/>
      <c r="M245" s="151"/>
      <c r="N245" s="151"/>
      <c r="O245" s="151"/>
      <c r="P245" s="151"/>
      <c r="Q245" s="151">
        <f t="shared" si="21"/>
        <v>0</v>
      </c>
      <c r="R245" s="706"/>
    </row>
    <row r="246" spans="1:18" ht="15" hidden="1" customHeight="1" x14ac:dyDescent="0.25">
      <c r="A246" s="172"/>
      <c r="B246" s="172"/>
      <c r="C246" s="188"/>
      <c r="D246" s="375" t="s">
        <v>506</v>
      </c>
      <c r="E246" s="168">
        <v>1</v>
      </c>
      <c r="F246" s="151">
        <v>151520</v>
      </c>
      <c r="G246" s="151"/>
      <c r="H246" s="151"/>
      <c r="I246" s="151"/>
      <c r="J246" s="151"/>
      <c r="K246" s="151"/>
      <c r="L246" s="151"/>
      <c r="M246" s="151"/>
      <c r="N246" s="151"/>
      <c r="O246" s="151"/>
      <c r="P246" s="151"/>
      <c r="Q246" s="151">
        <f t="shared" si="21"/>
        <v>0</v>
      </c>
      <c r="R246" s="706"/>
    </row>
    <row r="247" spans="1:18" ht="15" hidden="1" customHeight="1" x14ac:dyDescent="0.25">
      <c r="A247" s="172"/>
      <c r="B247" s="172"/>
      <c r="C247" s="188"/>
      <c r="D247" s="376" t="s">
        <v>507</v>
      </c>
      <c r="E247" s="151">
        <v>1</v>
      </c>
      <c r="F247" s="151">
        <v>151521</v>
      </c>
      <c r="G247" s="151"/>
      <c r="H247" s="151"/>
      <c r="I247" s="151"/>
      <c r="J247" s="151"/>
      <c r="K247" s="151"/>
      <c r="L247" s="151"/>
      <c r="M247" s="151"/>
      <c r="N247" s="151"/>
      <c r="O247" s="151"/>
      <c r="P247" s="151"/>
      <c r="Q247" s="151">
        <f t="shared" si="21"/>
        <v>0</v>
      </c>
      <c r="R247" s="706"/>
    </row>
    <row r="248" spans="1:18" ht="15" hidden="1" customHeight="1" x14ac:dyDescent="0.25">
      <c r="A248" s="172"/>
      <c r="B248" s="172"/>
      <c r="C248" s="188"/>
      <c r="D248" s="376" t="s">
        <v>508</v>
      </c>
      <c r="E248" s="151">
        <v>1</v>
      </c>
      <c r="F248" s="151">
        <v>151522</v>
      </c>
      <c r="G248" s="151"/>
      <c r="H248" s="151"/>
      <c r="I248" s="151"/>
      <c r="J248" s="151"/>
      <c r="K248" s="151"/>
      <c r="L248" s="151"/>
      <c r="M248" s="151"/>
      <c r="N248" s="151"/>
      <c r="O248" s="151"/>
      <c r="P248" s="151"/>
      <c r="Q248" s="151">
        <f t="shared" si="21"/>
        <v>0</v>
      </c>
      <c r="R248" s="706"/>
    </row>
    <row r="249" spans="1:18" ht="15" hidden="1" customHeight="1" x14ac:dyDescent="0.25">
      <c r="A249" s="172"/>
      <c r="B249" s="172"/>
      <c r="C249" s="188"/>
      <c r="D249" s="185" t="s">
        <v>509</v>
      </c>
      <c r="E249" s="151">
        <v>1</v>
      </c>
      <c r="F249" s="151">
        <v>151512</v>
      </c>
      <c r="G249" s="151"/>
      <c r="H249" s="151"/>
      <c r="I249" s="151"/>
      <c r="J249" s="151"/>
      <c r="K249" s="151"/>
      <c r="L249" s="151"/>
      <c r="M249" s="151"/>
      <c r="N249" s="151"/>
      <c r="O249" s="151"/>
      <c r="P249" s="151"/>
      <c r="Q249" s="151">
        <f t="shared" si="21"/>
        <v>0</v>
      </c>
      <c r="R249" s="706"/>
    </row>
    <row r="250" spans="1:18" ht="15" hidden="1" customHeight="1" x14ac:dyDescent="0.25">
      <c r="A250" s="172"/>
      <c r="B250" s="172"/>
      <c r="C250" s="188"/>
      <c r="D250" s="376" t="s">
        <v>510</v>
      </c>
      <c r="E250" s="151">
        <v>1</v>
      </c>
      <c r="F250" s="151">
        <v>151519</v>
      </c>
      <c r="G250" s="151"/>
      <c r="H250" s="151"/>
      <c r="I250" s="151"/>
      <c r="J250" s="151"/>
      <c r="K250" s="151"/>
      <c r="L250" s="151"/>
      <c r="M250" s="151"/>
      <c r="N250" s="151"/>
      <c r="O250" s="151"/>
      <c r="P250" s="151"/>
      <c r="Q250" s="151">
        <f t="shared" si="21"/>
        <v>0</v>
      </c>
      <c r="R250" s="706"/>
    </row>
    <row r="251" spans="1:18" ht="15" hidden="1" customHeight="1" x14ac:dyDescent="0.25">
      <c r="A251" s="172"/>
      <c r="B251" s="172"/>
      <c r="C251" s="188"/>
      <c r="D251" s="185" t="s">
        <v>511</v>
      </c>
      <c r="E251" s="151">
        <v>2</v>
      </c>
      <c r="F251" s="151">
        <v>151511</v>
      </c>
      <c r="G251" s="151"/>
      <c r="H251" s="151"/>
      <c r="I251" s="151"/>
      <c r="J251" s="151"/>
      <c r="K251" s="151"/>
      <c r="L251" s="151"/>
      <c r="M251" s="151"/>
      <c r="N251" s="151"/>
      <c r="O251" s="151"/>
      <c r="P251" s="151"/>
      <c r="Q251" s="151">
        <f t="shared" si="21"/>
        <v>0</v>
      </c>
      <c r="R251" s="706"/>
    </row>
    <row r="252" spans="1:18" ht="15" hidden="1" customHeight="1" x14ac:dyDescent="0.25">
      <c r="A252" s="172"/>
      <c r="B252" s="172"/>
      <c r="C252" s="188"/>
      <c r="D252" s="185" t="s">
        <v>512</v>
      </c>
      <c r="E252" s="183">
        <v>2</v>
      </c>
      <c r="F252" s="151">
        <v>151514</v>
      </c>
      <c r="G252" s="151"/>
      <c r="H252" s="151"/>
      <c r="I252" s="151"/>
      <c r="J252" s="151"/>
      <c r="K252" s="151"/>
      <c r="L252" s="151"/>
      <c r="M252" s="151"/>
      <c r="N252" s="151"/>
      <c r="O252" s="151"/>
      <c r="P252" s="151"/>
      <c r="Q252" s="151">
        <f t="shared" si="21"/>
        <v>0</v>
      </c>
      <c r="R252" s="706"/>
    </row>
    <row r="253" spans="1:18" ht="15" hidden="1" customHeight="1" x14ac:dyDescent="0.25">
      <c r="A253" s="172"/>
      <c r="B253" s="172"/>
      <c r="C253" s="188"/>
      <c r="D253" s="185" t="s">
        <v>513</v>
      </c>
      <c r="E253" s="183">
        <v>2</v>
      </c>
      <c r="F253" s="151">
        <v>151515</v>
      </c>
      <c r="G253" s="151"/>
      <c r="H253" s="151"/>
      <c r="I253" s="151"/>
      <c r="J253" s="151"/>
      <c r="K253" s="151"/>
      <c r="L253" s="151"/>
      <c r="M253" s="151"/>
      <c r="N253" s="151"/>
      <c r="O253" s="151"/>
      <c r="P253" s="151"/>
      <c r="Q253" s="151">
        <f t="shared" si="21"/>
        <v>0</v>
      </c>
      <c r="R253" s="706"/>
    </row>
    <row r="254" spans="1:18" ht="15" hidden="1" customHeight="1" x14ac:dyDescent="0.25">
      <c r="A254" s="172"/>
      <c r="B254" s="172"/>
      <c r="C254" s="188"/>
      <c r="D254" s="185" t="s">
        <v>514</v>
      </c>
      <c r="E254" s="183">
        <v>1</v>
      </c>
      <c r="F254" s="151">
        <v>151513</v>
      </c>
      <c r="G254" s="151"/>
      <c r="H254" s="151"/>
      <c r="I254" s="151"/>
      <c r="J254" s="151"/>
      <c r="K254" s="151"/>
      <c r="L254" s="151"/>
      <c r="M254" s="151"/>
      <c r="N254" s="151"/>
      <c r="O254" s="151"/>
      <c r="P254" s="151"/>
      <c r="Q254" s="151">
        <f t="shared" si="21"/>
        <v>0</v>
      </c>
      <c r="R254" s="706"/>
    </row>
    <row r="255" spans="1:18" ht="15" hidden="1" customHeight="1" x14ac:dyDescent="0.25">
      <c r="A255" s="172"/>
      <c r="B255" s="172"/>
      <c r="C255" s="188"/>
      <c r="D255" s="185" t="s">
        <v>515</v>
      </c>
      <c r="E255" s="183">
        <v>2</v>
      </c>
      <c r="F255" s="151">
        <v>151918</v>
      </c>
      <c r="G255" s="151"/>
      <c r="H255" s="151"/>
      <c r="I255" s="151"/>
      <c r="J255" s="151"/>
      <c r="K255" s="151"/>
      <c r="L255" s="151"/>
      <c r="M255" s="151"/>
      <c r="N255" s="151"/>
      <c r="O255" s="151"/>
      <c r="P255" s="151"/>
      <c r="Q255" s="151">
        <f t="shared" si="21"/>
        <v>0</v>
      </c>
      <c r="R255" s="706"/>
    </row>
    <row r="256" spans="1:18" ht="17.25" hidden="1" customHeight="1" x14ac:dyDescent="0.25">
      <c r="A256" s="172"/>
      <c r="B256" s="172"/>
      <c r="C256" s="188"/>
      <c r="D256" s="185" t="s">
        <v>516</v>
      </c>
      <c r="E256" s="183">
        <v>2</v>
      </c>
      <c r="F256" s="151">
        <v>151923</v>
      </c>
      <c r="G256" s="151"/>
      <c r="H256" s="151"/>
      <c r="I256" s="151"/>
      <c r="J256" s="151"/>
      <c r="K256" s="151"/>
      <c r="L256" s="151"/>
      <c r="M256" s="151"/>
      <c r="N256" s="151"/>
      <c r="O256" s="151"/>
      <c r="P256" s="151"/>
      <c r="Q256" s="151">
        <f t="shared" si="21"/>
        <v>0</v>
      </c>
      <c r="R256" s="706"/>
    </row>
    <row r="257" spans="1:18" ht="17.25" hidden="1" customHeight="1" thickBot="1" x14ac:dyDescent="0.3">
      <c r="A257" s="172"/>
      <c r="B257" s="172"/>
      <c r="C257" s="188"/>
      <c r="D257" s="788" t="s">
        <v>895</v>
      </c>
      <c r="E257" s="789">
        <v>2</v>
      </c>
      <c r="F257" s="151">
        <v>151524</v>
      </c>
      <c r="G257" s="151"/>
      <c r="H257" s="151"/>
      <c r="I257" s="151"/>
      <c r="J257" s="151"/>
      <c r="K257" s="151"/>
      <c r="L257" s="151"/>
      <c r="M257" s="151"/>
      <c r="N257" s="151"/>
      <c r="O257" s="151"/>
      <c r="P257" s="151"/>
      <c r="Q257" s="151">
        <f t="shared" si="21"/>
        <v>0</v>
      </c>
      <c r="R257" s="706"/>
    </row>
    <row r="258" spans="1:18" ht="15" customHeight="1" x14ac:dyDescent="0.25">
      <c r="A258" s="172"/>
      <c r="B258" s="172"/>
      <c r="C258" s="188"/>
      <c r="D258" s="897" t="s">
        <v>1300</v>
      </c>
      <c r="E258" s="897"/>
      <c r="F258" s="771"/>
      <c r="G258" s="151"/>
      <c r="H258" s="151"/>
      <c r="I258" s="151"/>
      <c r="J258" s="151"/>
      <c r="K258" s="151"/>
      <c r="L258" s="151"/>
      <c r="M258" s="151"/>
      <c r="N258" s="151"/>
      <c r="O258" s="151"/>
      <c r="P258" s="151"/>
      <c r="Q258" s="151"/>
      <c r="R258" s="706"/>
    </row>
    <row r="259" spans="1:18" ht="15" customHeight="1" x14ac:dyDescent="0.25">
      <c r="A259" s="172"/>
      <c r="B259" s="172"/>
      <c r="C259" s="188"/>
      <c r="D259" s="790" t="s">
        <v>518</v>
      </c>
      <c r="E259" s="791">
        <v>1</v>
      </c>
      <c r="F259" s="151">
        <v>151401</v>
      </c>
      <c r="G259" s="151"/>
      <c r="H259" s="151"/>
      <c r="I259" s="151">
        <v>-817</v>
      </c>
      <c r="J259" s="151"/>
      <c r="K259" s="151"/>
      <c r="L259" s="151"/>
      <c r="M259" s="151"/>
      <c r="N259" s="151"/>
      <c r="O259" s="151"/>
      <c r="P259" s="151"/>
      <c r="Q259" s="151">
        <f t="shared" ref="Q259:Q273" si="22">SUM(G259:P259)</f>
        <v>-817</v>
      </c>
      <c r="R259" s="706" t="s">
        <v>1295</v>
      </c>
    </row>
    <row r="260" spans="1:18" ht="15" hidden="1" customHeight="1" x14ac:dyDescent="0.25">
      <c r="A260" s="172"/>
      <c r="B260" s="172"/>
      <c r="C260" s="188"/>
      <c r="D260" s="186" t="s">
        <v>519</v>
      </c>
      <c r="E260" s="183">
        <v>1</v>
      </c>
      <c r="F260" s="151">
        <v>151402</v>
      </c>
      <c r="G260" s="151"/>
      <c r="H260" s="151"/>
      <c r="I260" s="151"/>
      <c r="J260" s="151"/>
      <c r="K260" s="151"/>
      <c r="L260" s="151"/>
      <c r="M260" s="151"/>
      <c r="N260" s="151"/>
      <c r="O260" s="151"/>
      <c r="P260" s="151"/>
      <c r="Q260" s="151">
        <f t="shared" si="22"/>
        <v>0</v>
      </c>
      <c r="R260" s="706"/>
    </row>
    <row r="261" spans="1:18" ht="15" hidden="1" customHeight="1" x14ac:dyDescent="0.25">
      <c r="A261" s="172"/>
      <c r="B261" s="172"/>
      <c r="C261" s="188"/>
      <c r="D261" s="186" t="s">
        <v>896</v>
      </c>
      <c r="E261" s="183">
        <v>1</v>
      </c>
      <c r="F261" s="151">
        <v>151421</v>
      </c>
      <c r="G261" s="151"/>
      <c r="H261" s="151"/>
      <c r="I261" s="151"/>
      <c r="J261" s="151"/>
      <c r="K261" s="151"/>
      <c r="L261" s="151"/>
      <c r="M261" s="151"/>
      <c r="N261" s="151"/>
      <c r="O261" s="151"/>
      <c r="P261" s="151"/>
      <c r="Q261" s="151">
        <f t="shared" si="22"/>
        <v>0</v>
      </c>
      <c r="R261" s="706"/>
    </row>
    <row r="262" spans="1:18" ht="15" hidden="1" customHeight="1" x14ac:dyDescent="0.25">
      <c r="A262" s="172"/>
      <c r="B262" s="172"/>
      <c r="C262" s="188"/>
      <c r="D262" s="186" t="s">
        <v>520</v>
      </c>
      <c r="E262" s="183">
        <v>1</v>
      </c>
      <c r="F262" s="151">
        <v>151411</v>
      </c>
      <c r="G262" s="151"/>
      <c r="H262" s="151"/>
      <c r="I262" s="151"/>
      <c r="J262" s="151"/>
      <c r="K262" s="151"/>
      <c r="L262" s="151"/>
      <c r="M262" s="151"/>
      <c r="N262" s="151"/>
      <c r="O262" s="151"/>
      <c r="P262" s="151"/>
      <c r="Q262" s="151">
        <f t="shared" si="22"/>
        <v>0</v>
      </c>
      <c r="R262" s="706"/>
    </row>
    <row r="263" spans="1:18" ht="15" hidden="1" customHeight="1" x14ac:dyDescent="0.25">
      <c r="A263" s="172"/>
      <c r="B263" s="172"/>
      <c r="C263" s="188"/>
      <c r="D263" s="186" t="s">
        <v>521</v>
      </c>
      <c r="E263" s="183">
        <v>1</v>
      </c>
      <c r="F263" s="151">
        <v>151412</v>
      </c>
      <c r="G263" s="151"/>
      <c r="H263" s="151"/>
      <c r="I263" s="151"/>
      <c r="J263" s="151"/>
      <c r="K263" s="151"/>
      <c r="L263" s="151"/>
      <c r="M263" s="151"/>
      <c r="N263" s="151"/>
      <c r="O263" s="151"/>
      <c r="P263" s="151"/>
      <c r="Q263" s="151">
        <f t="shared" si="22"/>
        <v>0</v>
      </c>
      <c r="R263" s="706"/>
    </row>
    <row r="264" spans="1:18" ht="15" hidden="1" customHeight="1" x14ac:dyDescent="0.25">
      <c r="A264" s="172"/>
      <c r="B264" s="172"/>
      <c r="C264" s="188"/>
      <c r="D264" s="186" t="s">
        <v>1095</v>
      </c>
      <c r="E264" s="183">
        <v>1</v>
      </c>
      <c r="F264" s="268">
        <v>151424</v>
      </c>
      <c r="G264" s="151"/>
      <c r="H264" s="151"/>
      <c r="I264" s="151"/>
      <c r="J264" s="151"/>
      <c r="K264" s="151"/>
      <c r="L264" s="151"/>
      <c r="M264" s="151"/>
      <c r="N264" s="151"/>
      <c r="O264" s="151"/>
      <c r="P264" s="151"/>
      <c r="Q264" s="151">
        <f t="shared" si="22"/>
        <v>0</v>
      </c>
      <c r="R264" s="706"/>
    </row>
    <row r="265" spans="1:18" ht="15" hidden="1" customHeight="1" x14ac:dyDescent="0.25">
      <c r="A265" s="172"/>
      <c r="B265" s="172"/>
      <c r="C265" s="188"/>
      <c r="D265" s="186" t="s">
        <v>522</v>
      </c>
      <c r="E265" s="183">
        <v>2</v>
      </c>
      <c r="F265" s="151">
        <v>151414</v>
      </c>
      <c r="G265" s="151"/>
      <c r="H265" s="151"/>
      <c r="I265" s="151"/>
      <c r="J265" s="151"/>
      <c r="K265" s="151"/>
      <c r="L265" s="151"/>
      <c r="M265" s="151"/>
      <c r="N265" s="151"/>
      <c r="O265" s="151"/>
      <c r="P265" s="151"/>
      <c r="Q265" s="151">
        <f t="shared" si="22"/>
        <v>0</v>
      </c>
      <c r="R265" s="706"/>
    </row>
    <row r="266" spans="1:18" ht="15" hidden="1" customHeight="1" x14ac:dyDescent="0.25">
      <c r="A266" s="172"/>
      <c r="B266" s="172"/>
      <c r="C266" s="188"/>
      <c r="D266" s="186" t="s">
        <v>523</v>
      </c>
      <c r="E266" s="183">
        <v>2</v>
      </c>
      <c r="F266" s="151">
        <v>151415</v>
      </c>
      <c r="G266" s="151"/>
      <c r="H266" s="151"/>
      <c r="I266" s="151"/>
      <c r="J266" s="151"/>
      <c r="K266" s="151"/>
      <c r="L266" s="151"/>
      <c r="M266" s="151"/>
      <c r="N266" s="151"/>
      <c r="O266" s="151"/>
      <c r="P266" s="151"/>
      <c r="Q266" s="151">
        <f t="shared" si="22"/>
        <v>0</v>
      </c>
      <c r="R266" s="706"/>
    </row>
    <row r="267" spans="1:18" ht="15" hidden="1" customHeight="1" x14ac:dyDescent="0.25">
      <c r="A267" s="172"/>
      <c r="B267" s="172"/>
      <c r="C267" s="188"/>
      <c r="D267" s="186" t="s">
        <v>524</v>
      </c>
      <c r="E267" s="183">
        <v>1</v>
      </c>
      <c r="F267" s="151">
        <v>151416</v>
      </c>
      <c r="G267" s="151"/>
      <c r="H267" s="151"/>
      <c r="I267" s="151"/>
      <c r="J267" s="151"/>
      <c r="K267" s="151"/>
      <c r="L267" s="151"/>
      <c r="M267" s="151"/>
      <c r="N267" s="151"/>
      <c r="O267" s="151"/>
      <c r="P267" s="151"/>
      <c r="Q267" s="151">
        <f t="shared" si="22"/>
        <v>0</v>
      </c>
      <c r="R267" s="706"/>
    </row>
    <row r="268" spans="1:18" ht="15" hidden="1" customHeight="1" x14ac:dyDescent="0.25">
      <c r="A268" s="172"/>
      <c r="B268" s="172"/>
      <c r="C268" s="188"/>
      <c r="D268" s="186" t="s">
        <v>525</v>
      </c>
      <c r="E268" s="183">
        <v>1</v>
      </c>
      <c r="F268" s="151">
        <v>151417</v>
      </c>
      <c r="G268" s="151"/>
      <c r="H268" s="151"/>
      <c r="I268" s="151"/>
      <c r="J268" s="151"/>
      <c r="K268" s="151"/>
      <c r="L268" s="151"/>
      <c r="M268" s="151"/>
      <c r="N268" s="151"/>
      <c r="O268" s="151"/>
      <c r="P268" s="151"/>
      <c r="Q268" s="151">
        <f t="shared" si="22"/>
        <v>0</v>
      </c>
      <c r="R268" s="706"/>
    </row>
    <row r="269" spans="1:18" ht="15" hidden="1" customHeight="1" x14ac:dyDescent="0.25">
      <c r="A269" s="172"/>
      <c r="B269" s="172"/>
      <c r="C269" s="188"/>
      <c r="D269" s="186" t="s">
        <v>526</v>
      </c>
      <c r="E269" s="183">
        <v>2</v>
      </c>
      <c r="F269" s="151">
        <v>151407</v>
      </c>
      <c r="G269" s="151"/>
      <c r="H269" s="151"/>
      <c r="I269" s="151"/>
      <c r="J269" s="151"/>
      <c r="K269" s="151"/>
      <c r="L269" s="151"/>
      <c r="M269" s="151"/>
      <c r="N269" s="151"/>
      <c r="O269" s="151"/>
      <c r="P269" s="151"/>
      <c r="Q269" s="151">
        <f t="shared" si="22"/>
        <v>0</v>
      </c>
      <c r="R269" s="706"/>
    </row>
    <row r="270" spans="1:18" ht="15" hidden="1" customHeight="1" x14ac:dyDescent="0.25">
      <c r="A270" s="172"/>
      <c r="B270" s="172"/>
      <c r="C270" s="188"/>
      <c r="D270" s="186" t="s">
        <v>527</v>
      </c>
      <c r="E270" s="183">
        <v>1</v>
      </c>
      <c r="F270" s="151">
        <v>151403</v>
      </c>
      <c r="G270" s="151"/>
      <c r="H270" s="151"/>
      <c r="I270" s="151"/>
      <c r="J270" s="151"/>
      <c r="K270" s="151"/>
      <c r="L270" s="151"/>
      <c r="M270" s="151"/>
      <c r="N270" s="151"/>
      <c r="O270" s="151"/>
      <c r="P270" s="151"/>
      <c r="Q270" s="151">
        <f t="shared" si="22"/>
        <v>0</v>
      </c>
      <c r="R270" s="706"/>
    </row>
    <row r="271" spans="1:18" ht="15" hidden="1" customHeight="1" x14ac:dyDescent="0.25">
      <c r="A271" s="172"/>
      <c r="B271" s="172"/>
      <c r="C271" s="188"/>
      <c r="D271" s="186" t="s">
        <v>528</v>
      </c>
      <c r="E271" s="183">
        <v>2</v>
      </c>
      <c r="F271" s="183">
        <v>151404</v>
      </c>
      <c r="G271" s="151"/>
      <c r="H271" s="151"/>
      <c r="I271" s="151"/>
      <c r="J271" s="151"/>
      <c r="K271" s="151"/>
      <c r="L271" s="151"/>
      <c r="M271" s="151"/>
      <c r="N271" s="151"/>
      <c r="O271" s="151"/>
      <c r="P271" s="151"/>
      <c r="Q271" s="151">
        <f t="shared" si="22"/>
        <v>0</v>
      </c>
      <c r="R271" s="706"/>
    </row>
    <row r="272" spans="1:18" ht="15" customHeight="1" x14ac:dyDescent="0.25">
      <c r="A272" s="172"/>
      <c r="B272" s="172"/>
      <c r="C272" s="188"/>
      <c r="D272" s="376" t="s">
        <v>1096</v>
      </c>
      <c r="E272" s="183">
        <v>2</v>
      </c>
      <c r="F272" s="183">
        <v>151408</v>
      </c>
      <c r="G272" s="151"/>
      <c r="H272" s="151"/>
      <c r="I272" s="151">
        <v>-1384</v>
      </c>
      <c r="J272" s="151"/>
      <c r="K272" s="151"/>
      <c r="L272" s="151"/>
      <c r="M272" s="151"/>
      <c r="N272" s="151"/>
      <c r="O272" s="151"/>
      <c r="P272" s="151"/>
      <c r="Q272" s="151">
        <f t="shared" si="22"/>
        <v>-1384</v>
      </c>
      <c r="R272" s="706" t="s">
        <v>1295</v>
      </c>
    </row>
    <row r="273" spans="1:18" ht="15" hidden="1" customHeight="1" x14ac:dyDescent="0.25">
      <c r="A273" s="172"/>
      <c r="B273" s="172"/>
      <c r="C273" s="188"/>
      <c r="D273" s="376" t="s">
        <v>529</v>
      </c>
      <c r="E273" s="183">
        <v>1</v>
      </c>
      <c r="F273" s="183">
        <v>151409</v>
      </c>
      <c r="G273" s="151"/>
      <c r="H273" s="151"/>
      <c r="I273" s="151"/>
      <c r="J273" s="151"/>
      <c r="K273" s="151"/>
      <c r="L273" s="151"/>
      <c r="M273" s="151"/>
      <c r="N273" s="151"/>
      <c r="O273" s="151"/>
      <c r="P273" s="151"/>
      <c r="Q273" s="151">
        <f t="shared" si="22"/>
        <v>0</v>
      </c>
      <c r="R273" s="706"/>
    </row>
    <row r="274" spans="1:18" ht="15" customHeight="1" x14ac:dyDescent="0.25">
      <c r="A274" s="172"/>
      <c r="B274" s="172"/>
      <c r="C274" s="188"/>
      <c r="D274" s="186" t="s">
        <v>530</v>
      </c>
      <c r="E274" s="183"/>
      <c r="F274" s="183"/>
      <c r="G274" s="151"/>
      <c r="H274" s="151"/>
      <c r="I274" s="151"/>
      <c r="J274" s="151"/>
      <c r="K274" s="151"/>
      <c r="L274" s="151"/>
      <c r="M274" s="151"/>
      <c r="N274" s="151"/>
      <c r="O274" s="151"/>
      <c r="P274" s="151"/>
      <c r="Q274" s="151"/>
      <c r="R274" s="706"/>
    </row>
    <row r="275" spans="1:18" ht="24.75" customHeight="1" x14ac:dyDescent="0.25">
      <c r="A275" s="172"/>
      <c r="B275" s="172"/>
      <c r="C275" s="188"/>
      <c r="D275" s="193" t="s">
        <v>531</v>
      </c>
      <c r="E275" s="208">
        <v>1</v>
      </c>
      <c r="F275" s="210">
        <v>191129</v>
      </c>
      <c r="G275" s="151"/>
      <c r="H275" s="151"/>
      <c r="I275" s="151">
        <v>4840</v>
      </c>
      <c r="J275" s="151"/>
      <c r="K275" s="151"/>
      <c r="L275" s="151"/>
      <c r="M275" s="151"/>
      <c r="N275" s="151"/>
      <c r="O275" s="151"/>
      <c r="P275" s="151"/>
      <c r="Q275" s="151">
        <f>SUM(G275:P275)</f>
        <v>4840</v>
      </c>
      <c r="R275" s="706" t="s">
        <v>1294</v>
      </c>
    </row>
    <row r="276" spans="1:18" ht="14.25" customHeight="1" x14ac:dyDescent="0.25">
      <c r="A276" s="172"/>
      <c r="B276" s="172"/>
      <c r="C276" s="188"/>
      <c r="D276" s="185" t="s">
        <v>532</v>
      </c>
      <c r="E276" s="183"/>
      <c r="F276" s="183"/>
      <c r="G276" s="151"/>
      <c r="H276" s="151"/>
      <c r="I276" s="151"/>
      <c r="J276" s="151"/>
      <c r="K276" s="151"/>
      <c r="L276" s="151"/>
      <c r="M276" s="151"/>
      <c r="N276" s="151"/>
      <c r="O276" s="151"/>
      <c r="P276" s="151"/>
      <c r="Q276" s="151"/>
      <c r="R276" s="706"/>
    </row>
    <row r="277" spans="1:18" ht="15" hidden="1" customHeight="1" x14ac:dyDescent="0.25">
      <c r="A277" s="151"/>
      <c r="B277" s="151"/>
      <c r="C277" s="151"/>
      <c r="D277" s="186" t="s">
        <v>533</v>
      </c>
      <c r="E277" s="151">
        <v>1</v>
      </c>
      <c r="F277" s="151">
        <v>151102</v>
      </c>
      <c r="G277" s="151"/>
      <c r="H277" s="151"/>
      <c r="I277" s="151"/>
      <c r="J277" s="151"/>
      <c r="K277" s="151"/>
      <c r="L277" s="151"/>
      <c r="M277" s="151"/>
      <c r="N277" s="151"/>
      <c r="O277" s="151"/>
      <c r="P277" s="151"/>
      <c r="Q277" s="151">
        <f>SUM(G277:P277)</f>
        <v>0</v>
      </c>
      <c r="R277" s="706"/>
    </row>
    <row r="278" spans="1:18" ht="15" hidden="1" customHeight="1" x14ac:dyDescent="0.25">
      <c r="A278" s="172"/>
      <c r="B278" s="172"/>
      <c r="C278" s="188"/>
      <c r="D278" s="186" t="s">
        <v>534</v>
      </c>
      <c r="E278" s="151">
        <v>1</v>
      </c>
      <c r="F278" s="151">
        <v>151103</v>
      </c>
      <c r="G278" s="151"/>
      <c r="H278" s="151"/>
      <c r="I278" s="151"/>
      <c r="J278" s="151"/>
      <c r="K278" s="151"/>
      <c r="L278" s="151"/>
      <c r="M278" s="151"/>
      <c r="N278" s="151"/>
      <c r="O278" s="151"/>
      <c r="P278" s="151"/>
      <c r="Q278" s="151">
        <f>SUM(G278:P278)</f>
        <v>0</v>
      </c>
      <c r="R278" s="706"/>
    </row>
    <row r="279" spans="1:18" ht="15" hidden="1" customHeight="1" x14ac:dyDescent="0.25">
      <c r="A279" s="172"/>
      <c r="B279" s="172"/>
      <c r="C279" s="188"/>
      <c r="D279" s="186" t="s">
        <v>535</v>
      </c>
      <c r="E279" s="151">
        <v>1</v>
      </c>
      <c r="F279" s="151">
        <v>151105</v>
      </c>
      <c r="G279" s="151"/>
      <c r="H279" s="151"/>
      <c r="I279" s="151"/>
      <c r="J279" s="151"/>
      <c r="K279" s="151"/>
      <c r="L279" s="151"/>
      <c r="M279" s="151"/>
      <c r="N279" s="151"/>
      <c r="O279" s="151"/>
      <c r="P279" s="151"/>
      <c r="Q279" s="151">
        <f>SUM(G279:P279)</f>
        <v>0</v>
      </c>
      <c r="R279" s="706"/>
    </row>
    <row r="280" spans="1:18" ht="15" hidden="1" customHeight="1" x14ac:dyDescent="0.25">
      <c r="A280" s="172"/>
      <c r="B280" s="172"/>
      <c r="C280" s="188"/>
      <c r="D280" s="186" t="s">
        <v>536</v>
      </c>
      <c r="E280" s="183"/>
      <c r="F280" s="183"/>
      <c r="G280" s="151"/>
      <c r="H280" s="151"/>
      <c r="I280" s="151"/>
      <c r="J280" s="151"/>
      <c r="K280" s="151"/>
      <c r="L280" s="151"/>
      <c r="M280" s="151"/>
      <c r="N280" s="151"/>
      <c r="O280" s="151"/>
      <c r="P280" s="151"/>
      <c r="Q280" s="151"/>
      <c r="R280" s="706"/>
    </row>
    <row r="281" spans="1:18" ht="15" hidden="1" customHeight="1" x14ac:dyDescent="0.25">
      <c r="A281" s="172"/>
      <c r="B281" s="172"/>
      <c r="C281" s="188"/>
      <c r="D281" s="185" t="s">
        <v>537</v>
      </c>
      <c r="E281" s="183">
        <v>1</v>
      </c>
      <c r="F281" s="151">
        <v>151301</v>
      </c>
      <c r="G281" s="151"/>
      <c r="H281" s="151"/>
      <c r="I281" s="151"/>
      <c r="J281" s="151"/>
      <c r="K281" s="151"/>
      <c r="L281" s="151"/>
      <c r="M281" s="151"/>
      <c r="N281" s="151"/>
      <c r="O281" s="151"/>
      <c r="P281" s="151"/>
      <c r="Q281" s="151">
        <f t="shared" ref="Q281:Q296" si="23">SUM(G281:P281)</f>
        <v>0</v>
      </c>
      <c r="R281" s="706"/>
    </row>
    <row r="282" spans="1:18" ht="15" hidden="1" customHeight="1" x14ac:dyDescent="0.25">
      <c r="A282" s="172"/>
      <c r="B282" s="172"/>
      <c r="C282" s="188"/>
      <c r="D282" s="185" t="s">
        <v>538</v>
      </c>
      <c r="E282" s="183">
        <v>1</v>
      </c>
      <c r="F282" s="151">
        <v>151310</v>
      </c>
      <c r="G282" s="151"/>
      <c r="H282" s="151"/>
      <c r="I282" s="151"/>
      <c r="J282" s="151"/>
      <c r="K282" s="151"/>
      <c r="L282" s="151"/>
      <c r="M282" s="151"/>
      <c r="N282" s="151"/>
      <c r="O282" s="151"/>
      <c r="P282" s="151"/>
      <c r="Q282" s="151">
        <f t="shared" si="23"/>
        <v>0</v>
      </c>
      <c r="R282" s="706"/>
    </row>
    <row r="283" spans="1:18" ht="15" hidden="1" customHeight="1" x14ac:dyDescent="0.25">
      <c r="A283" s="172"/>
      <c r="B283" s="172"/>
      <c r="C283" s="188"/>
      <c r="D283" s="185" t="s">
        <v>539</v>
      </c>
      <c r="E283" s="183">
        <v>1</v>
      </c>
      <c r="F283" s="151">
        <v>151313</v>
      </c>
      <c r="G283" s="151"/>
      <c r="H283" s="151"/>
      <c r="I283" s="151"/>
      <c r="J283" s="151"/>
      <c r="K283" s="151"/>
      <c r="L283" s="151"/>
      <c r="M283" s="151"/>
      <c r="N283" s="151"/>
      <c r="O283" s="151"/>
      <c r="P283" s="151"/>
      <c r="Q283" s="151">
        <f t="shared" si="23"/>
        <v>0</v>
      </c>
      <c r="R283" s="706"/>
    </row>
    <row r="284" spans="1:18" ht="15" customHeight="1" x14ac:dyDescent="0.25">
      <c r="A284" s="172"/>
      <c r="B284" s="172"/>
      <c r="C284" s="188"/>
      <c r="D284" s="185" t="s">
        <v>540</v>
      </c>
      <c r="E284" s="183">
        <v>1</v>
      </c>
      <c r="F284" s="151">
        <v>151314</v>
      </c>
      <c r="G284" s="151"/>
      <c r="H284" s="151"/>
      <c r="I284" s="151">
        <v>-92</v>
      </c>
      <c r="J284" s="151"/>
      <c r="K284" s="151"/>
      <c r="L284" s="151"/>
      <c r="M284" s="151"/>
      <c r="N284" s="151"/>
      <c r="O284" s="151"/>
      <c r="P284" s="151"/>
      <c r="Q284" s="151">
        <f t="shared" si="23"/>
        <v>-92</v>
      </c>
      <c r="R284" s="706" t="s">
        <v>1295</v>
      </c>
    </row>
    <row r="285" spans="1:18" ht="15" hidden="1" customHeight="1" x14ac:dyDescent="0.25">
      <c r="A285" s="172"/>
      <c r="B285" s="172"/>
      <c r="C285" s="188"/>
      <c r="D285" s="185" t="s">
        <v>541</v>
      </c>
      <c r="E285" s="183">
        <v>1</v>
      </c>
      <c r="F285" s="151">
        <v>151320</v>
      </c>
      <c r="G285" s="151"/>
      <c r="H285" s="151"/>
      <c r="I285" s="151"/>
      <c r="J285" s="151"/>
      <c r="K285" s="151"/>
      <c r="L285" s="151"/>
      <c r="M285" s="151"/>
      <c r="N285" s="151"/>
      <c r="O285" s="151"/>
      <c r="P285" s="151"/>
      <c r="Q285" s="151">
        <f t="shared" si="23"/>
        <v>0</v>
      </c>
      <c r="R285" s="706"/>
    </row>
    <row r="286" spans="1:18" ht="15" hidden="1" customHeight="1" x14ac:dyDescent="0.25">
      <c r="A286" s="172"/>
      <c r="B286" s="172"/>
      <c r="C286" s="188"/>
      <c r="D286" s="185" t="s">
        <v>542</v>
      </c>
      <c r="E286" s="183">
        <v>1</v>
      </c>
      <c r="F286" s="151">
        <v>151317</v>
      </c>
      <c r="G286" s="151"/>
      <c r="H286" s="151"/>
      <c r="I286" s="151"/>
      <c r="J286" s="151"/>
      <c r="K286" s="151"/>
      <c r="L286" s="151"/>
      <c r="M286" s="151"/>
      <c r="N286" s="151"/>
      <c r="O286" s="151"/>
      <c r="P286" s="151"/>
      <c r="Q286" s="151">
        <f t="shared" si="23"/>
        <v>0</v>
      </c>
      <c r="R286" s="706"/>
    </row>
    <row r="287" spans="1:18" ht="16.5" hidden="1" customHeight="1" x14ac:dyDescent="0.25">
      <c r="A287" s="172"/>
      <c r="B287" s="172"/>
      <c r="C287" s="188"/>
      <c r="D287" s="193" t="s">
        <v>897</v>
      </c>
      <c r="E287" s="183">
        <v>1</v>
      </c>
      <c r="F287" s="151">
        <v>151306</v>
      </c>
      <c r="G287" s="151"/>
      <c r="H287" s="151"/>
      <c r="I287" s="151"/>
      <c r="J287" s="151"/>
      <c r="K287" s="151"/>
      <c r="L287" s="151"/>
      <c r="M287" s="151"/>
      <c r="N287" s="151"/>
      <c r="O287" s="151"/>
      <c r="P287" s="151"/>
      <c r="Q287" s="151">
        <f t="shared" si="23"/>
        <v>0</v>
      </c>
      <c r="R287" s="706"/>
    </row>
    <row r="288" spans="1:18" ht="28.5" hidden="1" customHeight="1" x14ac:dyDescent="0.25">
      <c r="A288" s="172"/>
      <c r="B288" s="172"/>
      <c r="C288" s="188"/>
      <c r="D288" s="193" t="s">
        <v>543</v>
      </c>
      <c r="E288" s="183">
        <v>1</v>
      </c>
      <c r="F288" s="151">
        <v>151307</v>
      </c>
      <c r="G288" s="151"/>
      <c r="H288" s="151"/>
      <c r="I288" s="151"/>
      <c r="J288" s="151"/>
      <c r="K288" s="151"/>
      <c r="L288" s="151"/>
      <c r="M288" s="151"/>
      <c r="N288" s="151"/>
      <c r="O288" s="151"/>
      <c r="P288" s="151"/>
      <c r="Q288" s="151">
        <f t="shared" si="23"/>
        <v>0</v>
      </c>
      <c r="R288" s="706"/>
    </row>
    <row r="289" spans="1:18" ht="24" hidden="1" customHeight="1" x14ac:dyDescent="0.25">
      <c r="A289" s="172"/>
      <c r="B289" s="172"/>
      <c r="C289" s="188"/>
      <c r="D289" s="193" t="s">
        <v>544</v>
      </c>
      <c r="E289" s="183">
        <v>1</v>
      </c>
      <c r="F289" s="151">
        <v>151308</v>
      </c>
      <c r="G289" s="151"/>
      <c r="H289" s="151"/>
      <c r="I289" s="151"/>
      <c r="J289" s="151"/>
      <c r="K289" s="151"/>
      <c r="L289" s="151"/>
      <c r="M289" s="151"/>
      <c r="N289" s="151"/>
      <c r="O289" s="151"/>
      <c r="P289" s="151"/>
      <c r="Q289" s="151">
        <f t="shared" si="23"/>
        <v>0</v>
      </c>
      <c r="R289" s="706"/>
    </row>
    <row r="290" spans="1:18" ht="24" customHeight="1" x14ac:dyDescent="0.25">
      <c r="A290" s="172"/>
      <c r="B290" s="172"/>
      <c r="C290" s="188"/>
      <c r="D290" s="193" t="s">
        <v>545</v>
      </c>
      <c r="E290" s="208">
        <v>1</v>
      </c>
      <c r="F290" s="210">
        <v>151311</v>
      </c>
      <c r="G290" s="151"/>
      <c r="H290" s="151"/>
      <c r="I290" s="151">
        <v>92</v>
      </c>
      <c r="J290" s="151"/>
      <c r="K290" s="151"/>
      <c r="L290" s="151"/>
      <c r="M290" s="151"/>
      <c r="N290" s="151"/>
      <c r="O290" s="151"/>
      <c r="P290" s="151"/>
      <c r="Q290" s="151">
        <f t="shared" si="23"/>
        <v>92</v>
      </c>
      <c r="R290" s="706" t="s">
        <v>1295</v>
      </c>
    </row>
    <row r="291" spans="1:18" ht="15" hidden="1" customHeight="1" x14ac:dyDescent="0.25">
      <c r="A291" s="172"/>
      <c r="B291" s="172"/>
      <c r="C291" s="188"/>
      <c r="D291" s="186" t="s">
        <v>546</v>
      </c>
      <c r="E291" s="183">
        <v>1</v>
      </c>
      <c r="F291" s="151">
        <v>151312</v>
      </c>
      <c r="G291" s="151"/>
      <c r="H291" s="151"/>
      <c r="I291" s="151"/>
      <c r="J291" s="151"/>
      <c r="K291" s="151"/>
      <c r="L291" s="151"/>
      <c r="M291" s="151"/>
      <c r="N291" s="151"/>
      <c r="O291" s="151"/>
      <c r="P291" s="151"/>
      <c r="Q291" s="151">
        <f t="shared" si="23"/>
        <v>0</v>
      </c>
      <c r="R291" s="706"/>
    </row>
    <row r="292" spans="1:18" ht="17.25" hidden="1" customHeight="1" x14ac:dyDescent="0.25">
      <c r="A292" s="172"/>
      <c r="B292" s="172"/>
      <c r="C292" s="188"/>
      <c r="D292" s="193" t="s">
        <v>1097</v>
      </c>
      <c r="E292" s="183">
        <v>1</v>
      </c>
      <c r="F292" s="151">
        <v>151302</v>
      </c>
      <c r="G292" s="151"/>
      <c r="H292" s="151"/>
      <c r="I292" s="151"/>
      <c r="J292" s="151"/>
      <c r="K292" s="151"/>
      <c r="L292" s="151"/>
      <c r="M292" s="151"/>
      <c r="N292" s="151"/>
      <c r="O292" s="151"/>
      <c r="P292" s="151"/>
      <c r="Q292" s="151">
        <f t="shared" si="23"/>
        <v>0</v>
      </c>
      <c r="R292" s="706"/>
    </row>
    <row r="293" spans="1:18" ht="25.5" hidden="1" customHeight="1" x14ac:dyDescent="0.25">
      <c r="A293" s="172"/>
      <c r="B293" s="172"/>
      <c r="C293" s="188"/>
      <c r="D293" s="205" t="s">
        <v>547</v>
      </c>
      <c r="E293" s="183">
        <v>1</v>
      </c>
      <c r="F293" s="151">
        <v>151303</v>
      </c>
      <c r="G293" s="151"/>
      <c r="H293" s="151"/>
      <c r="I293" s="151"/>
      <c r="J293" s="151"/>
      <c r="K293" s="151"/>
      <c r="L293" s="151"/>
      <c r="M293" s="151"/>
      <c r="N293" s="151"/>
      <c r="O293" s="151"/>
      <c r="P293" s="151"/>
      <c r="Q293" s="151">
        <f t="shared" si="23"/>
        <v>0</v>
      </c>
      <c r="R293" s="706"/>
    </row>
    <row r="294" spans="1:18" ht="17.25" hidden="1" customHeight="1" x14ac:dyDescent="0.25">
      <c r="A294" s="172"/>
      <c r="B294" s="172"/>
      <c r="C294" s="188"/>
      <c r="D294" s="377" t="s">
        <v>548</v>
      </c>
      <c r="E294" s="378">
        <v>2</v>
      </c>
      <c r="F294" s="210">
        <v>151315</v>
      </c>
      <c r="G294" s="151"/>
      <c r="H294" s="151"/>
      <c r="I294" s="151"/>
      <c r="J294" s="151"/>
      <c r="K294" s="151"/>
      <c r="L294" s="151"/>
      <c r="M294" s="151"/>
      <c r="N294" s="151"/>
      <c r="O294" s="151"/>
      <c r="P294" s="151"/>
      <c r="Q294" s="151">
        <f t="shared" si="23"/>
        <v>0</v>
      </c>
      <c r="R294" s="706"/>
    </row>
    <row r="295" spans="1:18" ht="25.5" hidden="1" customHeight="1" x14ac:dyDescent="0.25">
      <c r="A295" s="172"/>
      <c r="B295" s="172"/>
      <c r="C295" s="188"/>
      <c r="D295" s="379" t="s">
        <v>898</v>
      </c>
      <c r="E295" s="380">
        <v>1</v>
      </c>
      <c r="F295" s="210">
        <v>151321</v>
      </c>
      <c r="G295" s="151"/>
      <c r="H295" s="151"/>
      <c r="I295" s="151"/>
      <c r="J295" s="151"/>
      <c r="K295" s="151"/>
      <c r="L295" s="151"/>
      <c r="M295" s="151"/>
      <c r="N295" s="151"/>
      <c r="O295" s="151"/>
      <c r="P295" s="151"/>
      <c r="Q295" s="151">
        <f t="shared" si="23"/>
        <v>0</v>
      </c>
      <c r="R295" s="706"/>
    </row>
    <row r="296" spans="1:18" ht="16.5" hidden="1" customHeight="1" x14ac:dyDescent="0.25">
      <c r="A296" s="172"/>
      <c r="B296" s="172"/>
      <c r="C296" s="188"/>
      <c r="D296" s="193" t="s">
        <v>549</v>
      </c>
      <c r="E296" s="208">
        <v>1</v>
      </c>
      <c r="F296" s="210">
        <v>151319</v>
      </c>
      <c r="G296" s="151"/>
      <c r="H296" s="151"/>
      <c r="I296" s="151"/>
      <c r="J296" s="151"/>
      <c r="K296" s="151"/>
      <c r="L296" s="151"/>
      <c r="M296" s="151"/>
      <c r="N296" s="151"/>
      <c r="O296" s="151"/>
      <c r="P296" s="151"/>
      <c r="Q296" s="151">
        <f t="shared" si="23"/>
        <v>0</v>
      </c>
      <c r="R296" s="706"/>
    </row>
    <row r="297" spans="1:18" ht="24.9" hidden="1" customHeight="1" x14ac:dyDescent="0.25">
      <c r="A297" s="172"/>
      <c r="B297" s="172"/>
      <c r="C297" s="188"/>
      <c r="D297" s="193" t="s">
        <v>550</v>
      </c>
      <c r="E297" s="208"/>
      <c r="F297" s="208"/>
      <c r="G297" s="151"/>
      <c r="H297" s="151"/>
      <c r="I297" s="151"/>
      <c r="J297" s="151"/>
      <c r="K297" s="151"/>
      <c r="L297" s="151"/>
      <c r="M297" s="151"/>
      <c r="N297" s="151"/>
      <c r="O297" s="151"/>
      <c r="P297" s="151"/>
      <c r="Q297" s="151"/>
      <c r="R297" s="706"/>
    </row>
    <row r="298" spans="1:18" ht="14.1" hidden="1" customHeight="1" x14ac:dyDescent="0.25">
      <c r="A298" s="172"/>
      <c r="B298" s="172"/>
      <c r="C298" s="188"/>
      <c r="D298" s="186" t="s">
        <v>551</v>
      </c>
      <c r="E298" s="151">
        <v>1</v>
      </c>
      <c r="F298" s="151">
        <v>151703</v>
      </c>
      <c r="G298" s="151"/>
      <c r="H298" s="151"/>
      <c r="I298" s="151"/>
      <c r="J298" s="151"/>
      <c r="K298" s="151"/>
      <c r="L298" s="151"/>
      <c r="M298" s="151"/>
      <c r="N298" s="151"/>
      <c r="O298" s="151"/>
      <c r="P298" s="151"/>
      <c r="Q298" s="151">
        <f>SUM(G298:P298)</f>
        <v>0</v>
      </c>
      <c r="R298" s="706"/>
    </row>
    <row r="299" spans="1:18" ht="14.1" hidden="1" customHeight="1" x14ac:dyDescent="0.25">
      <c r="A299" s="172"/>
      <c r="B299" s="172"/>
      <c r="C299" s="188"/>
      <c r="D299" s="185" t="s">
        <v>239</v>
      </c>
      <c r="E299" s="183"/>
      <c r="F299" s="183"/>
      <c r="G299" s="151"/>
      <c r="H299" s="151"/>
      <c r="I299" s="151"/>
      <c r="J299" s="151"/>
      <c r="K299" s="151"/>
      <c r="L299" s="151"/>
      <c r="M299" s="151"/>
      <c r="N299" s="151"/>
      <c r="O299" s="151"/>
      <c r="P299" s="151"/>
      <c r="Q299" s="151"/>
      <c r="R299" s="706"/>
    </row>
    <row r="300" spans="1:18" ht="14.1" hidden="1" customHeight="1" x14ac:dyDescent="0.25">
      <c r="A300" s="172"/>
      <c r="B300" s="172"/>
      <c r="C300" s="188"/>
      <c r="D300" s="186" t="s">
        <v>552</v>
      </c>
      <c r="E300" s="151">
        <v>1</v>
      </c>
      <c r="F300" s="151">
        <v>151601</v>
      </c>
      <c r="G300" s="151"/>
      <c r="H300" s="151"/>
      <c r="I300" s="151"/>
      <c r="J300" s="151"/>
      <c r="K300" s="151"/>
      <c r="L300" s="151"/>
      <c r="M300" s="151"/>
      <c r="N300" s="151"/>
      <c r="O300" s="151"/>
      <c r="P300" s="151"/>
      <c r="Q300" s="151">
        <f t="shared" ref="Q300:Q316" si="24">SUM(G300:P300)</f>
        <v>0</v>
      </c>
      <c r="R300" s="706"/>
    </row>
    <row r="301" spans="1:18" ht="14.1" hidden="1" customHeight="1" x14ac:dyDescent="0.25">
      <c r="A301" s="172"/>
      <c r="B301" s="172"/>
      <c r="C301" s="188"/>
      <c r="D301" s="186" t="s">
        <v>553</v>
      </c>
      <c r="E301" s="151">
        <v>1</v>
      </c>
      <c r="F301" s="151">
        <v>151602</v>
      </c>
      <c r="G301" s="151"/>
      <c r="H301" s="151"/>
      <c r="I301" s="151"/>
      <c r="J301" s="151"/>
      <c r="K301" s="151"/>
      <c r="L301" s="151"/>
      <c r="M301" s="151"/>
      <c r="N301" s="151"/>
      <c r="O301" s="151"/>
      <c r="P301" s="151"/>
      <c r="Q301" s="151">
        <f t="shared" si="24"/>
        <v>0</v>
      </c>
      <c r="R301" s="706"/>
    </row>
    <row r="302" spans="1:18" ht="14.1" hidden="1" customHeight="1" x14ac:dyDescent="0.25">
      <c r="A302" s="172"/>
      <c r="B302" s="172"/>
      <c r="C302" s="188"/>
      <c r="D302" s="566" t="s">
        <v>554</v>
      </c>
      <c r="E302" s="151">
        <v>1</v>
      </c>
      <c r="F302" s="151">
        <v>151607</v>
      </c>
      <c r="G302" s="151"/>
      <c r="H302" s="151"/>
      <c r="I302" s="268"/>
      <c r="J302" s="151"/>
      <c r="K302" s="151"/>
      <c r="L302" s="151"/>
      <c r="M302" s="151"/>
      <c r="N302" s="151"/>
      <c r="O302" s="151"/>
      <c r="P302" s="151"/>
      <c r="Q302" s="151">
        <f t="shared" si="24"/>
        <v>0</v>
      </c>
      <c r="R302" s="706"/>
    </row>
    <row r="303" spans="1:18" ht="14.1" hidden="1" customHeight="1" x14ac:dyDescent="0.25">
      <c r="A303" s="172"/>
      <c r="B303" s="172"/>
      <c r="C303" s="188"/>
      <c r="D303" s="186" t="s">
        <v>555</v>
      </c>
      <c r="E303" s="151">
        <v>2</v>
      </c>
      <c r="F303" s="151">
        <v>151610</v>
      </c>
      <c r="G303" s="151"/>
      <c r="H303" s="151"/>
      <c r="I303" s="151"/>
      <c r="J303" s="151"/>
      <c r="K303" s="151"/>
      <c r="L303" s="151"/>
      <c r="M303" s="151"/>
      <c r="N303" s="151"/>
      <c r="O303" s="151"/>
      <c r="P303" s="151"/>
      <c r="Q303" s="151">
        <f t="shared" si="24"/>
        <v>0</v>
      </c>
      <c r="R303" s="706"/>
    </row>
    <row r="304" spans="1:18" ht="24" hidden="1" customHeight="1" x14ac:dyDescent="0.25">
      <c r="A304" s="172" t="s">
        <v>88</v>
      </c>
      <c r="B304" s="172"/>
      <c r="C304" s="188"/>
      <c r="D304" s="193" t="s">
        <v>556</v>
      </c>
      <c r="E304" s="183">
        <v>2</v>
      </c>
      <c r="F304" s="151">
        <v>151619</v>
      </c>
      <c r="G304" s="151"/>
      <c r="H304" s="151"/>
      <c r="I304" s="151"/>
      <c r="J304" s="151"/>
      <c r="K304" s="151"/>
      <c r="L304" s="151"/>
      <c r="M304" s="151"/>
      <c r="N304" s="151"/>
      <c r="O304" s="151"/>
      <c r="P304" s="151"/>
      <c r="Q304" s="151">
        <f t="shared" si="24"/>
        <v>0</v>
      </c>
      <c r="R304" s="706"/>
    </row>
    <row r="305" spans="1:18" ht="17.100000000000001" hidden="1" customHeight="1" x14ac:dyDescent="0.25">
      <c r="A305" s="172"/>
      <c r="B305" s="172"/>
      <c r="C305" s="188"/>
      <c r="D305" s="185" t="s">
        <v>557</v>
      </c>
      <c r="E305" s="183">
        <v>2</v>
      </c>
      <c r="F305" s="151">
        <v>151626</v>
      </c>
      <c r="G305" s="151"/>
      <c r="H305" s="151"/>
      <c r="I305" s="151"/>
      <c r="J305" s="151"/>
      <c r="K305" s="151"/>
      <c r="L305" s="151"/>
      <c r="M305" s="151"/>
      <c r="N305" s="151"/>
      <c r="O305" s="151"/>
      <c r="P305" s="151"/>
      <c r="Q305" s="151">
        <f t="shared" si="24"/>
        <v>0</v>
      </c>
      <c r="R305" s="706"/>
    </row>
    <row r="306" spans="1:18" ht="17.100000000000001" hidden="1" customHeight="1" x14ac:dyDescent="0.25">
      <c r="A306" s="172"/>
      <c r="B306" s="172"/>
      <c r="C306" s="188"/>
      <c r="D306" s="205" t="s">
        <v>558</v>
      </c>
      <c r="E306" s="208">
        <v>2</v>
      </c>
      <c r="F306" s="210">
        <v>151627</v>
      </c>
      <c r="G306" s="151"/>
      <c r="H306" s="151"/>
      <c r="I306" s="151"/>
      <c r="J306" s="151"/>
      <c r="K306" s="151"/>
      <c r="L306" s="151"/>
      <c r="M306" s="151"/>
      <c r="N306" s="151"/>
      <c r="O306" s="151"/>
      <c r="P306" s="151"/>
      <c r="Q306" s="151">
        <f t="shared" si="24"/>
        <v>0</v>
      </c>
      <c r="R306" s="706"/>
    </row>
    <row r="307" spans="1:18" ht="17.100000000000001" hidden="1" customHeight="1" x14ac:dyDescent="0.25">
      <c r="A307" s="172"/>
      <c r="B307" s="172"/>
      <c r="C307" s="188"/>
      <c r="D307" s="185" t="s">
        <v>1098</v>
      </c>
      <c r="E307" s="208">
        <v>2</v>
      </c>
      <c r="F307" s="210">
        <v>151638</v>
      </c>
      <c r="G307" s="151"/>
      <c r="H307" s="151"/>
      <c r="I307" s="151"/>
      <c r="J307" s="151"/>
      <c r="K307" s="151"/>
      <c r="L307" s="151"/>
      <c r="M307" s="151"/>
      <c r="N307" s="151"/>
      <c r="O307" s="151"/>
      <c r="P307" s="151"/>
      <c r="Q307" s="151">
        <f t="shared" si="24"/>
        <v>0</v>
      </c>
      <c r="R307" s="706"/>
    </row>
    <row r="308" spans="1:18" ht="17.100000000000001" hidden="1" customHeight="1" x14ac:dyDescent="0.25">
      <c r="A308" s="172"/>
      <c r="B308" s="172"/>
      <c r="C308" s="188"/>
      <c r="D308" s="186" t="s">
        <v>559</v>
      </c>
      <c r="E308" s="151">
        <v>1</v>
      </c>
      <c r="F308" s="151">
        <v>151603</v>
      </c>
      <c r="G308" s="151"/>
      <c r="H308" s="151"/>
      <c r="I308" s="151"/>
      <c r="J308" s="151"/>
      <c r="K308" s="151"/>
      <c r="L308" s="151"/>
      <c r="M308" s="151"/>
      <c r="N308" s="151"/>
      <c r="O308" s="151"/>
      <c r="P308" s="151"/>
      <c r="Q308" s="151">
        <f t="shared" si="24"/>
        <v>0</v>
      </c>
      <c r="R308" s="706"/>
    </row>
    <row r="309" spans="1:18" ht="17.100000000000001" hidden="1" customHeight="1" x14ac:dyDescent="0.25">
      <c r="A309" s="172"/>
      <c r="B309" s="172"/>
      <c r="C309" s="188"/>
      <c r="D309" s="186" t="s">
        <v>560</v>
      </c>
      <c r="E309" s="151">
        <v>1</v>
      </c>
      <c r="F309" s="151">
        <v>151605</v>
      </c>
      <c r="G309" s="151"/>
      <c r="H309" s="151"/>
      <c r="I309" s="151"/>
      <c r="J309" s="151"/>
      <c r="K309" s="151"/>
      <c r="L309" s="151"/>
      <c r="M309" s="151"/>
      <c r="N309" s="151"/>
      <c r="O309" s="151"/>
      <c r="P309" s="151"/>
      <c r="Q309" s="151">
        <f t="shared" si="24"/>
        <v>0</v>
      </c>
      <c r="R309" s="706"/>
    </row>
    <row r="310" spans="1:18" ht="17.100000000000001" hidden="1" customHeight="1" x14ac:dyDescent="0.25">
      <c r="A310" s="172"/>
      <c r="B310" s="172"/>
      <c r="C310" s="188"/>
      <c r="D310" s="186" t="s">
        <v>561</v>
      </c>
      <c r="E310" s="151">
        <v>1</v>
      </c>
      <c r="F310" s="151">
        <v>151608</v>
      </c>
      <c r="G310" s="151"/>
      <c r="H310" s="151"/>
      <c r="I310" s="151"/>
      <c r="J310" s="151"/>
      <c r="K310" s="151"/>
      <c r="L310" s="151"/>
      <c r="M310" s="151"/>
      <c r="N310" s="151"/>
      <c r="O310" s="151"/>
      <c r="P310" s="151"/>
      <c r="Q310" s="151">
        <f t="shared" si="24"/>
        <v>0</v>
      </c>
      <c r="R310" s="706"/>
    </row>
    <row r="311" spans="1:18" ht="17.100000000000001" hidden="1" customHeight="1" x14ac:dyDescent="0.25">
      <c r="A311" s="172"/>
      <c r="B311" s="172"/>
      <c r="C311" s="188"/>
      <c r="D311" s="186" t="s">
        <v>562</v>
      </c>
      <c r="E311" s="151">
        <v>2</v>
      </c>
      <c r="F311" s="151">
        <v>151624</v>
      </c>
      <c r="G311" s="151"/>
      <c r="H311" s="151"/>
      <c r="I311" s="151"/>
      <c r="J311" s="151"/>
      <c r="K311" s="151"/>
      <c r="L311" s="151"/>
      <c r="M311" s="151"/>
      <c r="N311" s="151"/>
      <c r="O311" s="151"/>
      <c r="P311" s="151"/>
      <c r="Q311" s="151">
        <f t="shared" si="24"/>
        <v>0</v>
      </c>
      <c r="R311" s="706"/>
    </row>
    <row r="312" spans="1:18" ht="17.100000000000001" hidden="1" customHeight="1" x14ac:dyDescent="0.25">
      <c r="A312" s="172"/>
      <c r="B312" s="172"/>
      <c r="C312" s="188"/>
      <c r="D312" s="186" t="s">
        <v>563</v>
      </c>
      <c r="E312" s="151">
        <v>1</v>
      </c>
      <c r="F312" s="151">
        <v>151631</v>
      </c>
      <c r="G312" s="151"/>
      <c r="H312" s="151"/>
      <c r="I312" s="151"/>
      <c r="J312" s="151"/>
      <c r="K312" s="151"/>
      <c r="L312" s="151"/>
      <c r="M312" s="151"/>
      <c r="N312" s="151"/>
      <c r="O312" s="151"/>
      <c r="P312" s="151"/>
      <c r="Q312" s="151">
        <f t="shared" si="24"/>
        <v>0</v>
      </c>
      <c r="R312" s="706"/>
    </row>
    <row r="313" spans="1:18" ht="17.100000000000001" hidden="1" customHeight="1" x14ac:dyDescent="0.25">
      <c r="A313" s="172"/>
      <c r="B313" s="172"/>
      <c r="C313" s="188"/>
      <c r="D313" s="382" t="s">
        <v>564</v>
      </c>
      <c r="E313" s="151">
        <v>1</v>
      </c>
      <c r="F313" s="151">
        <v>151632</v>
      </c>
      <c r="G313" s="151"/>
      <c r="H313" s="151"/>
      <c r="I313" s="151"/>
      <c r="J313" s="151"/>
      <c r="K313" s="151"/>
      <c r="L313" s="151"/>
      <c r="M313" s="151"/>
      <c r="N313" s="151"/>
      <c r="O313" s="151"/>
      <c r="P313" s="151"/>
      <c r="Q313" s="151">
        <f t="shared" si="24"/>
        <v>0</v>
      </c>
      <c r="R313" s="706"/>
    </row>
    <row r="314" spans="1:18" ht="24.75" hidden="1" customHeight="1" x14ac:dyDescent="0.25">
      <c r="A314" s="172"/>
      <c r="B314" s="172"/>
      <c r="C314" s="188"/>
      <c r="D314" s="153" t="s">
        <v>565</v>
      </c>
      <c r="E314" s="151">
        <v>1</v>
      </c>
      <c r="F314" s="151">
        <v>151635</v>
      </c>
      <c r="G314" s="151"/>
      <c r="H314" s="151"/>
      <c r="I314" s="151"/>
      <c r="J314" s="151"/>
      <c r="K314" s="151"/>
      <c r="L314" s="151"/>
      <c r="M314" s="151"/>
      <c r="N314" s="151"/>
      <c r="O314" s="151"/>
      <c r="P314" s="151"/>
      <c r="Q314" s="151">
        <f t="shared" si="24"/>
        <v>0</v>
      </c>
      <c r="R314" s="706"/>
    </row>
    <row r="315" spans="1:18" ht="14.1" hidden="1" customHeight="1" x14ac:dyDescent="0.25">
      <c r="A315" s="172"/>
      <c r="B315" s="172"/>
      <c r="C315" s="188"/>
      <c r="D315" s="383" t="s">
        <v>566</v>
      </c>
      <c r="E315" s="151">
        <v>1</v>
      </c>
      <c r="F315" s="151">
        <v>151612</v>
      </c>
      <c r="G315" s="151"/>
      <c r="H315" s="151"/>
      <c r="I315" s="151"/>
      <c r="J315" s="151"/>
      <c r="K315" s="151"/>
      <c r="L315" s="151"/>
      <c r="M315" s="151"/>
      <c r="N315" s="151"/>
      <c r="O315" s="151"/>
      <c r="P315" s="151"/>
      <c r="Q315" s="151">
        <f t="shared" si="24"/>
        <v>0</v>
      </c>
      <c r="R315" s="706"/>
    </row>
    <row r="316" spans="1:18" ht="14.1" hidden="1" customHeight="1" x14ac:dyDescent="0.25">
      <c r="A316" s="172"/>
      <c r="B316" s="172"/>
      <c r="C316" s="188"/>
      <c r="D316" s="383" t="s">
        <v>567</v>
      </c>
      <c r="E316" s="151">
        <v>1</v>
      </c>
      <c r="F316" s="151">
        <v>151614</v>
      </c>
      <c r="G316" s="151"/>
      <c r="H316" s="151"/>
      <c r="I316" s="151"/>
      <c r="J316" s="151"/>
      <c r="K316" s="151"/>
      <c r="L316" s="151"/>
      <c r="M316" s="151"/>
      <c r="N316" s="151"/>
      <c r="O316" s="151"/>
      <c r="P316" s="151"/>
      <c r="Q316" s="151">
        <f t="shared" si="24"/>
        <v>0</v>
      </c>
      <c r="R316" s="706"/>
    </row>
    <row r="317" spans="1:18" ht="12.9" hidden="1" customHeight="1" x14ac:dyDescent="0.25">
      <c r="A317" s="172"/>
      <c r="B317" s="172"/>
      <c r="C317" s="188"/>
      <c r="D317" s="373" t="s">
        <v>494</v>
      </c>
      <c r="E317" s="151"/>
      <c r="F317" s="151"/>
      <c r="G317" s="151"/>
      <c r="H317" s="151"/>
      <c r="I317" s="151"/>
      <c r="J317" s="151"/>
      <c r="K317" s="151"/>
      <c r="L317" s="151"/>
      <c r="M317" s="151"/>
      <c r="N317" s="151"/>
      <c r="O317" s="151"/>
      <c r="P317" s="151"/>
      <c r="Q317" s="151"/>
      <c r="R317" s="706"/>
    </row>
    <row r="318" spans="1:18" ht="17.25" hidden="1" customHeight="1" x14ac:dyDescent="0.25">
      <c r="A318" s="172"/>
      <c r="B318" s="172"/>
      <c r="C318" s="188"/>
      <c r="D318" s="193" t="s">
        <v>568</v>
      </c>
      <c r="E318" s="151">
        <v>1</v>
      </c>
      <c r="F318" s="151">
        <v>151505</v>
      </c>
      <c r="G318" s="151"/>
      <c r="H318" s="151"/>
      <c r="I318" s="151"/>
      <c r="J318" s="151"/>
      <c r="K318" s="151"/>
      <c r="L318" s="151"/>
      <c r="M318" s="151"/>
      <c r="N318" s="151"/>
      <c r="O318" s="151"/>
      <c r="P318" s="151"/>
      <c r="Q318" s="151">
        <f>SUM(G318:P318)</f>
        <v>0</v>
      </c>
      <c r="R318" s="706"/>
    </row>
    <row r="319" spans="1:18" ht="16.5" hidden="1" customHeight="1" x14ac:dyDescent="0.25">
      <c r="A319" s="172"/>
      <c r="B319" s="172"/>
      <c r="C319" s="188"/>
      <c r="D319" s="185" t="s">
        <v>228</v>
      </c>
      <c r="E319" s="183"/>
      <c r="F319" s="183"/>
      <c r="G319" s="151"/>
      <c r="H319" s="151"/>
      <c r="I319" s="151"/>
      <c r="J319" s="151"/>
      <c r="K319" s="151"/>
      <c r="L319" s="151"/>
      <c r="M319" s="151"/>
      <c r="N319" s="151"/>
      <c r="O319" s="151"/>
      <c r="P319" s="151"/>
      <c r="Q319" s="151"/>
      <c r="R319" s="706"/>
    </row>
    <row r="320" spans="1:18" ht="16.5" hidden="1" customHeight="1" x14ac:dyDescent="0.25">
      <c r="A320" s="172"/>
      <c r="B320" s="172"/>
      <c r="C320" s="172"/>
      <c r="D320" s="186" t="s">
        <v>229</v>
      </c>
      <c r="E320" s="151">
        <v>2</v>
      </c>
      <c r="F320" s="151">
        <v>151906</v>
      </c>
      <c r="G320" s="151"/>
      <c r="H320" s="151"/>
      <c r="I320" s="151"/>
      <c r="J320" s="151"/>
      <c r="K320" s="151"/>
      <c r="L320" s="151"/>
      <c r="M320" s="151"/>
      <c r="N320" s="151"/>
      <c r="O320" s="151"/>
      <c r="P320" s="151"/>
      <c r="Q320" s="151">
        <f>SUM(G320:P320)</f>
        <v>0</v>
      </c>
      <c r="R320" s="706"/>
    </row>
    <row r="321" spans="1:18" ht="16.5" hidden="1" customHeight="1" x14ac:dyDescent="0.25">
      <c r="A321" s="172"/>
      <c r="B321" s="172"/>
      <c r="C321" s="188"/>
      <c r="D321" s="186" t="s">
        <v>569</v>
      </c>
      <c r="E321" s="151">
        <v>2</v>
      </c>
      <c r="F321" s="151">
        <v>151915</v>
      </c>
      <c r="G321" s="151"/>
      <c r="H321" s="151"/>
      <c r="I321" s="151"/>
      <c r="J321" s="151"/>
      <c r="K321" s="151"/>
      <c r="L321" s="151"/>
      <c r="M321" s="151"/>
      <c r="N321" s="151"/>
      <c r="O321" s="151"/>
      <c r="P321" s="151"/>
      <c r="Q321" s="151">
        <f>SUM(G321:P321)</f>
        <v>0</v>
      </c>
      <c r="R321" s="706"/>
    </row>
    <row r="322" spans="1:18" ht="17.25" hidden="1" customHeight="1" x14ac:dyDescent="0.25">
      <c r="A322" s="172"/>
      <c r="B322" s="172"/>
      <c r="C322" s="188"/>
      <c r="D322" s="186" t="s">
        <v>230</v>
      </c>
      <c r="E322" s="151">
        <v>2</v>
      </c>
      <c r="F322" s="151">
        <v>151907</v>
      </c>
      <c r="G322" s="151"/>
      <c r="H322" s="151"/>
      <c r="I322" s="151"/>
      <c r="J322" s="151"/>
      <c r="K322" s="151"/>
      <c r="L322" s="151"/>
      <c r="M322" s="151"/>
      <c r="N322" s="151"/>
      <c r="O322" s="151"/>
      <c r="P322" s="151"/>
      <c r="Q322" s="151">
        <f>SUM(G322:P322)</f>
        <v>0</v>
      </c>
      <c r="R322" s="706"/>
    </row>
    <row r="323" spans="1:18" ht="25.5" hidden="1" customHeight="1" x14ac:dyDescent="0.25">
      <c r="A323" s="172"/>
      <c r="B323" s="172"/>
      <c r="C323" s="188"/>
      <c r="D323" s="193" t="s">
        <v>570</v>
      </c>
      <c r="E323" s="151">
        <v>2</v>
      </c>
      <c r="F323" s="151">
        <v>151924</v>
      </c>
      <c r="G323" s="151"/>
      <c r="H323" s="151"/>
      <c r="I323" s="151"/>
      <c r="J323" s="151"/>
      <c r="K323" s="151"/>
      <c r="L323" s="151"/>
      <c r="M323" s="151"/>
      <c r="N323" s="151"/>
      <c r="O323" s="151"/>
      <c r="P323" s="151"/>
      <c r="Q323" s="151">
        <f>SUM(G323:P323)</f>
        <v>0</v>
      </c>
      <c r="R323" s="706"/>
    </row>
    <row r="324" spans="1:18" ht="17.100000000000001" customHeight="1" x14ac:dyDescent="0.25">
      <c r="A324" s="172"/>
      <c r="B324" s="172"/>
      <c r="C324" s="188"/>
      <c r="D324" s="185" t="s">
        <v>571</v>
      </c>
      <c r="E324" s="183"/>
      <c r="F324" s="183"/>
      <c r="G324" s="151"/>
      <c r="H324" s="151"/>
      <c r="I324" s="151"/>
      <c r="J324" s="151"/>
      <c r="K324" s="151"/>
      <c r="L324" s="151"/>
      <c r="M324" s="151"/>
      <c r="N324" s="151"/>
      <c r="O324" s="151"/>
      <c r="P324" s="151"/>
      <c r="Q324" s="151"/>
      <c r="R324" s="706"/>
    </row>
    <row r="325" spans="1:18" ht="17.100000000000001" customHeight="1" x14ac:dyDescent="0.25">
      <c r="A325" s="172"/>
      <c r="B325" s="172"/>
      <c r="C325" s="188"/>
      <c r="D325" s="185" t="s">
        <v>572</v>
      </c>
      <c r="E325" s="183">
        <v>1</v>
      </c>
      <c r="F325" s="151">
        <v>151801</v>
      </c>
      <c r="G325" s="151"/>
      <c r="H325" s="151"/>
      <c r="I325" s="151">
        <v>-29465</v>
      </c>
      <c r="J325" s="151"/>
      <c r="K325" s="151">
        <v>29465</v>
      </c>
      <c r="L325" s="151"/>
      <c r="M325" s="151"/>
      <c r="N325" s="151"/>
      <c r="O325" s="151"/>
      <c r="P325" s="151"/>
      <c r="Q325" s="151">
        <f>SUM(G325:P325)</f>
        <v>0</v>
      </c>
      <c r="R325" s="706"/>
    </row>
    <row r="326" spans="1:18" ht="17.100000000000001" hidden="1" customHeight="1" x14ac:dyDescent="0.25">
      <c r="A326" s="172"/>
      <c r="B326" s="172"/>
      <c r="C326" s="188"/>
      <c r="D326" s="185" t="s">
        <v>573</v>
      </c>
      <c r="E326" s="183">
        <v>1</v>
      </c>
      <c r="F326" s="151">
        <v>151803</v>
      </c>
      <c r="G326" s="151"/>
      <c r="H326" s="151"/>
      <c r="I326" s="151"/>
      <c r="J326" s="151"/>
      <c r="K326" s="151"/>
      <c r="L326" s="151"/>
      <c r="M326" s="151"/>
      <c r="N326" s="151"/>
      <c r="O326" s="151"/>
      <c r="P326" s="151"/>
      <c r="Q326" s="151">
        <f>SUM(G326:P326)</f>
        <v>0</v>
      </c>
      <c r="R326" s="706"/>
    </row>
    <row r="327" spans="1:18" ht="17.100000000000001" hidden="1" customHeight="1" x14ac:dyDescent="0.25">
      <c r="A327" s="172"/>
      <c r="B327" s="172"/>
      <c r="C327" s="188"/>
      <c r="D327" s="384" t="s">
        <v>574</v>
      </c>
      <c r="E327" s="345">
        <v>1</v>
      </c>
      <c r="F327" s="151">
        <v>151802</v>
      </c>
      <c r="G327" s="151"/>
      <c r="H327" s="151"/>
      <c r="I327" s="151"/>
      <c r="J327" s="151"/>
      <c r="K327" s="151"/>
      <c r="L327" s="151"/>
      <c r="M327" s="151"/>
      <c r="N327" s="151"/>
      <c r="O327" s="151"/>
      <c r="P327" s="151"/>
      <c r="Q327" s="151">
        <f>SUM(G327:P327)</f>
        <v>0</v>
      </c>
      <c r="R327" s="706"/>
    </row>
    <row r="328" spans="1:18" ht="17.100000000000001" hidden="1" customHeight="1" x14ac:dyDescent="0.25">
      <c r="A328" s="172"/>
      <c r="B328" s="172"/>
      <c r="C328" s="188"/>
      <c r="D328" s="185" t="s">
        <v>575</v>
      </c>
      <c r="E328" s="183"/>
      <c r="F328" s="183"/>
      <c r="G328" s="151"/>
      <c r="H328" s="151"/>
      <c r="I328" s="151"/>
      <c r="J328" s="151"/>
      <c r="K328" s="151"/>
      <c r="L328" s="151"/>
      <c r="M328" s="151"/>
      <c r="N328" s="151"/>
      <c r="O328" s="151"/>
      <c r="P328" s="151"/>
      <c r="Q328" s="151"/>
      <c r="R328" s="706"/>
    </row>
    <row r="329" spans="1:18" ht="17.100000000000001" hidden="1" customHeight="1" x14ac:dyDescent="0.25">
      <c r="A329" s="172"/>
      <c r="B329" s="172"/>
      <c r="C329" s="188"/>
      <c r="D329" s="185" t="s">
        <v>576</v>
      </c>
      <c r="E329" s="151">
        <v>1</v>
      </c>
      <c r="F329" s="151">
        <v>151201</v>
      </c>
      <c r="G329" s="151"/>
      <c r="H329" s="151"/>
      <c r="I329" s="151"/>
      <c r="J329" s="151"/>
      <c r="K329" s="151"/>
      <c r="L329" s="151"/>
      <c r="M329" s="151"/>
      <c r="N329" s="151"/>
      <c r="O329" s="151"/>
      <c r="P329" s="151"/>
      <c r="Q329" s="151">
        <f t="shared" ref="Q329:Q336" si="25">SUM(G329:P329)</f>
        <v>0</v>
      </c>
      <c r="R329" s="706"/>
    </row>
    <row r="330" spans="1:18" ht="17.100000000000001" hidden="1" customHeight="1" x14ac:dyDescent="0.25">
      <c r="A330" s="172"/>
      <c r="B330" s="172"/>
      <c r="C330" s="188"/>
      <c r="D330" s="185" t="s">
        <v>577</v>
      </c>
      <c r="E330" s="183">
        <v>1</v>
      </c>
      <c r="F330" s="151">
        <v>151204</v>
      </c>
      <c r="G330" s="151"/>
      <c r="H330" s="151"/>
      <c r="I330" s="151"/>
      <c r="J330" s="151"/>
      <c r="K330" s="151"/>
      <c r="L330" s="151"/>
      <c r="M330" s="151"/>
      <c r="N330" s="151"/>
      <c r="O330" s="151"/>
      <c r="P330" s="151"/>
      <c r="Q330" s="151">
        <f t="shared" si="25"/>
        <v>0</v>
      </c>
      <c r="R330" s="706"/>
    </row>
    <row r="331" spans="1:18" ht="17.100000000000001" hidden="1" customHeight="1" x14ac:dyDescent="0.25">
      <c r="A331" s="172"/>
      <c r="B331" s="172"/>
      <c r="C331" s="188"/>
      <c r="D331" s="185" t="s">
        <v>578</v>
      </c>
      <c r="E331" s="183">
        <v>1</v>
      </c>
      <c r="F331" s="151">
        <v>151202</v>
      </c>
      <c r="G331" s="151"/>
      <c r="H331" s="151"/>
      <c r="I331" s="151"/>
      <c r="J331" s="151"/>
      <c r="K331" s="151"/>
      <c r="L331" s="151"/>
      <c r="M331" s="151"/>
      <c r="N331" s="151"/>
      <c r="O331" s="151"/>
      <c r="P331" s="151"/>
      <c r="Q331" s="151">
        <f t="shared" si="25"/>
        <v>0</v>
      </c>
      <c r="R331" s="706"/>
    </row>
    <row r="332" spans="1:18" ht="22.95" hidden="1" customHeight="1" x14ac:dyDescent="0.25">
      <c r="A332" s="172"/>
      <c r="B332" s="172"/>
      <c r="C332" s="188"/>
      <c r="D332" s="205" t="s">
        <v>1099</v>
      </c>
      <c r="E332" s="183">
        <v>1</v>
      </c>
      <c r="F332" s="268">
        <v>151208</v>
      </c>
      <c r="G332" s="151"/>
      <c r="H332" s="151"/>
      <c r="I332" s="151"/>
      <c r="J332" s="151"/>
      <c r="K332" s="151"/>
      <c r="L332" s="151"/>
      <c r="M332" s="151"/>
      <c r="N332" s="151"/>
      <c r="O332" s="151"/>
      <c r="P332" s="151"/>
      <c r="Q332" s="151">
        <f t="shared" si="25"/>
        <v>0</v>
      </c>
      <c r="R332" s="706"/>
    </row>
    <row r="333" spans="1:18" ht="17.100000000000001" hidden="1" customHeight="1" x14ac:dyDescent="0.25">
      <c r="A333" s="172"/>
      <c r="B333" s="172"/>
      <c r="C333" s="188"/>
      <c r="D333" s="185" t="s">
        <v>579</v>
      </c>
      <c r="E333" s="183">
        <v>1</v>
      </c>
      <c r="F333" s="151">
        <v>151205</v>
      </c>
      <c r="G333" s="151"/>
      <c r="H333" s="151"/>
      <c r="I333" s="151"/>
      <c r="J333" s="151"/>
      <c r="K333" s="151"/>
      <c r="L333" s="151"/>
      <c r="M333" s="151"/>
      <c r="N333" s="151"/>
      <c r="O333" s="151"/>
      <c r="P333" s="151"/>
      <c r="Q333" s="151">
        <f t="shared" si="25"/>
        <v>0</v>
      </c>
      <c r="R333" s="706"/>
    </row>
    <row r="334" spans="1:18" ht="23.25" hidden="1" customHeight="1" x14ac:dyDescent="0.25">
      <c r="A334" s="172"/>
      <c r="B334" s="172"/>
      <c r="C334" s="188"/>
      <c r="D334" s="205" t="s">
        <v>580</v>
      </c>
      <c r="E334" s="183">
        <v>2</v>
      </c>
      <c r="F334" s="151">
        <v>151207</v>
      </c>
      <c r="G334" s="151"/>
      <c r="H334" s="151"/>
      <c r="I334" s="151"/>
      <c r="J334" s="151"/>
      <c r="K334" s="151"/>
      <c r="L334" s="151"/>
      <c r="M334" s="151"/>
      <c r="N334" s="151"/>
      <c r="O334" s="151"/>
      <c r="P334" s="151"/>
      <c r="Q334" s="151">
        <f t="shared" si="25"/>
        <v>0</v>
      </c>
      <c r="R334" s="706"/>
    </row>
    <row r="335" spans="1:18" ht="14.1" hidden="1" customHeight="1" x14ac:dyDescent="0.25">
      <c r="A335" s="172"/>
      <c r="B335" s="172"/>
      <c r="C335" s="188"/>
      <c r="D335" s="185" t="s">
        <v>581</v>
      </c>
      <c r="E335" s="183">
        <v>1</v>
      </c>
      <c r="F335" s="151">
        <v>151902</v>
      </c>
      <c r="G335" s="151"/>
      <c r="H335" s="151"/>
      <c r="I335" s="151"/>
      <c r="J335" s="151"/>
      <c r="K335" s="151"/>
      <c r="L335" s="151"/>
      <c r="M335" s="151"/>
      <c r="N335" s="151"/>
      <c r="O335" s="151"/>
      <c r="P335" s="151"/>
      <c r="Q335" s="151">
        <f t="shared" si="25"/>
        <v>0</v>
      </c>
      <c r="R335" s="706"/>
    </row>
    <row r="336" spans="1:18" ht="25.5" hidden="1" customHeight="1" x14ac:dyDescent="0.25">
      <c r="A336" s="172"/>
      <c r="B336" s="172"/>
      <c r="C336" s="188"/>
      <c r="D336" s="205" t="s">
        <v>582</v>
      </c>
      <c r="E336" s="183"/>
      <c r="F336" s="151">
        <v>151925</v>
      </c>
      <c r="G336" s="151"/>
      <c r="H336" s="151"/>
      <c r="I336" s="151"/>
      <c r="J336" s="151"/>
      <c r="K336" s="151"/>
      <c r="L336" s="151"/>
      <c r="M336" s="151"/>
      <c r="N336" s="151"/>
      <c r="O336" s="151"/>
      <c r="P336" s="151"/>
      <c r="Q336" s="151">
        <f t="shared" si="25"/>
        <v>0</v>
      </c>
      <c r="R336" s="706"/>
    </row>
    <row r="337" spans="1:18" ht="15" hidden="1" customHeight="1" x14ac:dyDescent="0.25">
      <c r="A337" s="172"/>
      <c r="B337" s="172"/>
      <c r="C337" s="188"/>
      <c r="D337" s="193" t="s">
        <v>240</v>
      </c>
      <c r="E337" s="208"/>
      <c r="F337" s="208"/>
      <c r="G337" s="151"/>
      <c r="H337" s="151"/>
      <c r="I337" s="151"/>
      <c r="J337" s="151"/>
      <c r="K337" s="151"/>
      <c r="L337" s="151"/>
      <c r="M337" s="151"/>
      <c r="N337" s="151"/>
      <c r="O337" s="151"/>
      <c r="P337" s="151"/>
      <c r="Q337" s="151"/>
      <c r="R337" s="706"/>
    </row>
    <row r="338" spans="1:18" ht="24.9" hidden="1" customHeight="1" x14ac:dyDescent="0.25">
      <c r="A338" s="172"/>
      <c r="B338" s="172"/>
      <c r="C338" s="188"/>
      <c r="D338" s="193" t="s">
        <v>583</v>
      </c>
      <c r="E338" s="208">
        <v>2</v>
      </c>
      <c r="F338" s="210">
        <v>151910</v>
      </c>
      <c r="G338" s="151"/>
      <c r="H338" s="151"/>
      <c r="I338" s="151"/>
      <c r="J338" s="151"/>
      <c r="K338" s="151"/>
      <c r="L338" s="151"/>
      <c r="M338" s="151"/>
      <c r="N338" s="151"/>
      <c r="O338" s="151"/>
      <c r="P338" s="151"/>
      <c r="Q338" s="151">
        <f>SUM(G338:P338)</f>
        <v>0</v>
      </c>
      <c r="R338" s="706"/>
    </row>
    <row r="339" spans="1:18" ht="16.5" hidden="1" customHeight="1" x14ac:dyDescent="0.25">
      <c r="A339" s="172"/>
      <c r="B339" s="172"/>
      <c r="C339" s="188"/>
      <c r="D339" s="193" t="s">
        <v>290</v>
      </c>
      <c r="E339" s="208"/>
      <c r="F339" s="208"/>
      <c r="G339" s="151"/>
      <c r="H339" s="151"/>
      <c r="I339" s="151"/>
      <c r="J339" s="151"/>
      <c r="K339" s="151"/>
      <c r="L339" s="151"/>
      <c r="M339" s="151"/>
      <c r="N339" s="151"/>
      <c r="O339" s="151"/>
      <c r="P339" s="151"/>
      <c r="Q339" s="151"/>
      <c r="R339" s="706"/>
    </row>
    <row r="340" spans="1:18" ht="24.9" hidden="1" customHeight="1" x14ac:dyDescent="0.25">
      <c r="A340" s="172"/>
      <c r="B340" s="172"/>
      <c r="C340" s="188"/>
      <c r="D340" s="193" t="s">
        <v>584</v>
      </c>
      <c r="E340" s="208">
        <v>1</v>
      </c>
      <c r="F340" s="210">
        <v>152915</v>
      </c>
      <c r="G340" s="151"/>
      <c r="H340" s="151"/>
      <c r="I340" s="151"/>
      <c r="J340" s="151"/>
      <c r="K340" s="151"/>
      <c r="L340" s="151"/>
      <c r="M340" s="151"/>
      <c r="N340" s="151"/>
      <c r="O340" s="151"/>
      <c r="P340" s="151"/>
      <c r="Q340" s="151">
        <f>SUM(G340:P340)</f>
        <v>0</v>
      </c>
      <c r="R340" s="706"/>
    </row>
    <row r="341" spans="1:18" ht="17.100000000000001" hidden="1" customHeight="1" x14ac:dyDescent="0.25">
      <c r="A341" s="172"/>
      <c r="B341" s="172"/>
      <c r="C341" s="188"/>
      <c r="D341" s="185" t="s">
        <v>585</v>
      </c>
      <c r="E341" s="183"/>
      <c r="F341" s="183"/>
      <c r="G341" s="151"/>
      <c r="H341" s="151"/>
      <c r="I341" s="151"/>
      <c r="J341" s="151"/>
      <c r="K341" s="151"/>
      <c r="L341" s="151"/>
      <c r="M341" s="151"/>
      <c r="N341" s="151"/>
      <c r="O341" s="151"/>
      <c r="P341" s="151"/>
      <c r="Q341" s="151"/>
      <c r="R341" s="706"/>
    </row>
    <row r="342" spans="1:18" ht="17.100000000000001" hidden="1" customHeight="1" x14ac:dyDescent="0.25">
      <c r="A342" s="172"/>
      <c r="B342" s="172"/>
      <c r="C342" s="188"/>
      <c r="D342" s="185" t="s">
        <v>586</v>
      </c>
      <c r="E342" s="151">
        <v>1</v>
      </c>
      <c r="F342" s="151">
        <v>151704</v>
      </c>
      <c r="G342" s="151"/>
      <c r="H342" s="151"/>
      <c r="I342" s="151"/>
      <c r="J342" s="151"/>
      <c r="K342" s="151"/>
      <c r="L342" s="151"/>
      <c r="M342" s="151"/>
      <c r="N342" s="151"/>
      <c r="O342" s="151"/>
      <c r="P342" s="268"/>
      <c r="Q342" s="151">
        <f>SUM(G342:P342)</f>
        <v>0</v>
      </c>
      <c r="R342" s="706"/>
    </row>
    <row r="343" spans="1:18" ht="20.25" customHeight="1" x14ac:dyDescent="0.25">
      <c r="A343" s="194"/>
      <c r="B343" s="194"/>
      <c r="C343" s="195"/>
      <c r="D343" s="385" t="s">
        <v>587</v>
      </c>
      <c r="E343" s="197"/>
      <c r="F343" s="198"/>
      <c r="G343" s="198">
        <f t="shared" ref="G343:Q343" si="26">SUM(G234:G342)</f>
        <v>0</v>
      </c>
      <c r="H343" s="198">
        <f t="shared" si="26"/>
        <v>0</v>
      </c>
      <c r="I343" s="198">
        <f t="shared" si="26"/>
        <v>-26826</v>
      </c>
      <c r="J343" s="198">
        <f t="shared" si="26"/>
        <v>0</v>
      </c>
      <c r="K343" s="198">
        <f t="shared" si="26"/>
        <v>29465</v>
      </c>
      <c r="L343" s="198">
        <f t="shared" si="26"/>
        <v>0</v>
      </c>
      <c r="M343" s="198">
        <f t="shared" si="26"/>
        <v>0</v>
      </c>
      <c r="N343" s="198">
        <f t="shared" si="26"/>
        <v>0</v>
      </c>
      <c r="O343" s="198">
        <f t="shared" si="26"/>
        <v>0</v>
      </c>
      <c r="P343" s="198">
        <f t="shared" si="26"/>
        <v>0</v>
      </c>
      <c r="Q343" s="198">
        <f t="shared" si="26"/>
        <v>2639</v>
      </c>
      <c r="R343" s="707"/>
    </row>
    <row r="344" spans="1:18" ht="17.100000000000001" customHeight="1" x14ac:dyDescent="0.25">
      <c r="A344" s="199"/>
      <c r="B344" s="199"/>
      <c r="C344" s="199"/>
      <c r="D344" s="218" t="s">
        <v>352</v>
      </c>
      <c r="E344" s="201"/>
      <c r="F344" s="202"/>
      <c r="G344" s="202"/>
      <c r="H344" s="202"/>
      <c r="I344" s="202"/>
      <c r="J344" s="202"/>
      <c r="K344" s="202"/>
      <c r="L344" s="202"/>
      <c r="M344" s="202"/>
      <c r="N344" s="202"/>
      <c r="O344" s="202"/>
      <c r="P344" s="202"/>
      <c r="Q344" s="202"/>
      <c r="R344" s="706"/>
    </row>
    <row r="345" spans="1:18" ht="17.25" hidden="1" customHeight="1" x14ac:dyDescent="0.25">
      <c r="A345" s="199"/>
      <c r="B345" s="199"/>
      <c r="C345" s="229" t="s">
        <v>92</v>
      </c>
      <c r="D345" s="386" t="s">
        <v>588</v>
      </c>
      <c r="E345" s="201"/>
      <c r="F345" s="202"/>
      <c r="G345" s="202"/>
      <c r="H345" s="202"/>
      <c r="I345" s="202"/>
      <c r="J345" s="202"/>
      <c r="K345" s="202"/>
      <c r="L345" s="202"/>
      <c r="M345" s="202"/>
      <c r="N345" s="202"/>
      <c r="O345" s="202"/>
      <c r="P345" s="202"/>
      <c r="Q345" s="202"/>
      <c r="R345" s="706"/>
    </row>
    <row r="346" spans="1:18" ht="21.75" hidden="1" customHeight="1" x14ac:dyDescent="0.25">
      <c r="A346" s="199"/>
      <c r="B346" s="199"/>
      <c r="C346" s="172" t="s">
        <v>353</v>
      </c>
      <c r="D346" s="573" t="s">
        <v>1123</v>
      </c>
      <c r="E346" s="574"/>
      <c r="F346" s="574">
        <v>152133</v>
      </c>
      <c r="G346" s="151"/>
      <c r="H346" s="151"/>
      <c r="I346" s="268"/>
      <c r="J346" s="268"/>
      <c r="K346" s="268"/>
      <c r="L346" s="268"/>
      <c r="M346" s="268"/>
      <c r="N346" s="151"/>
      <c r="O346" s="151"/>
      <c r="P346" s="151"/>
      <c r="Q346" s="151">
        <f t="shared" ref="Q346:Q348" si="27">SUM(G346:P346)</f>
        <v>0</v>
      </c>
      <c r="R346" s="706"/>
    </row>
    <row r="347" spans="1:18" ht="17.100000000000001" hidden="1" customHeight="1" x14ac:dyDescent="0.25">
      <c r="A347" s="199"/>
      <c r="B347" s="199"/>
      <c r="C347" s="172" t="s">
        <v>589</v>
      </c>
      <c r="D347" s="575" t="s">
        <v>1124</v>
      </c>
      <c r="E347" s="574"/>
      <c r="F347" s="574">
        <v>154134</v>
      </c>
      <c r="G347" s="151"/>
      <c r="H347" s="151"/>
      <c r="I347" s="268"/>
      <c r="J347" s="268"/>
      <c r="K347" s="268"/>
      <c r="L347" s="268"/>
      <c r="M347" s="268"/>
      <c r="N347" s="151"/>
      <c r="O347" s="151"/>
      <c r="P347" s="151"/>
      <c r="Q347" s="151">
        <f t="shared" si="27"/>
        <v>0</v>
      </c>
      <c r="R347" s="706"/>
    </row>
    <row r="348" spans="1:18" ht="17.100000000000001" hidden="1" customHeight="1" x14ac:dyDescent="0.25">
      <c r="A348" s="641"/>
      <c r="B348" s="641"/>
      <c r="C348" s="639" t="s">
        <v>590</v>
      </c>
      <c r="D348" s="643" t="s">
        <v>1242</v>
      </c>
      <c r="E348" s="640"/>
      <c r="F348" s="653">
        <v>152118</v>
      </c>
      <c r="G348" s="638"/>
      <c r="H348" s="638"/>
      <c r="I348" s="644"/>
      <c r="J348" s="644"/>
      <c r="K348" s="644"/>
      <c r="L348" s="644"/>
      <c r="M348" s="644"/>
      <c r="N348" s="638"/>
      <c r="O348" s="638"/>
      <c r="P348" s="638"/>
      <c r="Q348" s="151">
        <f t="shared" si="27"/>
        <v>0</v>
      </c>
      <c r="R348" s="706"/>
    </row>
    <row r="349" spans="1:18" ht="17.100000000000001" hidden="1" customHeight="1" x14ac:dyDescent="0.25">
      <c r="A349" s="199"/>
      <c r="B349" s="199"/>
      <c r="C349" s="646"/>
      <c r="D349" s="186" t="s">
        <v>1026</v>
      </c>
      <c r="E349" s="201"/>
      <c r="F349" s="201"/>
      <c r="G349" s="151"/>
      <c r="H349" s="151"/>
      <c r="I349" s="151"/>
      <c r="J349" s="151"/>
      <c r="K349" s="151"/>
      <c r="L349" s="151"/>
      <c r="M349" s="151"/>
      <c r="N349" s="151"/>
      <c r="O349" s="151"/>
      <c r="P349" s="151"/>
      <c r="Q349" s="151"/>
      <c r="R349" s="706"/>
    </row>
    <row r="350" spans="1:18" ht="17.100000000000001" hidden="1" customHeight="1" x14ac:dyDescent="0.25">
      <c r="A350" s="199"/>
      <c r="B350" s="229"/>
      <c r="C350" s="645" t="s">
        <v>355</v>
      </c>
      <c r="D350" s="277" t="s">
        <v>899</v>
      </c>
      <c r="E350" s="200"/>
      <c r="F350" s="200">
        <v>154103</v>
      </c>
      <c r="G350" s="151"/>
      <c r="H350" s="151"/>
      <c r="I350" s="151"/>
      <c r="J350" s="151"/>
      <c r="K350" s="151"/>
      <c r="L350" s="151"/>
      <c r="M350" s="151"/>
      <c r="N350" s="151"/>
      <c r="O350" s="151"/>
      <c r="P350" s="151"/>
      <c r="Q350" s="151">
        <f>SUM(G350:P350)</f>
        <v>0</v>
      </c>
      <c r="R350" s="706"/>
    </row>
    <row r="351" spans="1:18" ht="17.100000000000001" hidden="1" customHeight="1" x14ac:dyDescent="0.25">
      <c r="A351" s="199"/>
      <c r="B351" s="229"/>
      <c r="C351" s="387" t="s">
        <v>593</v>
      </c>
      <c r="D351" s="374" t="s">
        <v>594</v>
      </c>
      <c r="E351" s="201"/>
      <c r="F351" s="200">
        <v>152129</v>
      </c>
      <c r="G351" s="151"/>
      <c r="H351" s="151"/>
      <c r="I351" s="151"/>
      <c r="J351" s="151"/>
      <c r="K351" s="151"/>
      <c r="L351" s="151"/>
      <c r="M351" s="151"/>
      <c r="N351" s="151"/>
      <c r="O351" s="151"/>
      <c r="P351" s="151"/>
      <c r="Q351" s="151">
        <f>SUM(G351:P351)</f>
        <v>0</v>
      </c>
      <c r="R351" s="706"/>
    </row>
    <row r="352" spans="1:18" ht="26.25" hidden="1" customHeight="1" x14ac:dyDescent="0.25">
      <c r="A352" s="199"/>
      <c r="B352" s="229"/>
      <c r="C352" s="387" t="s">
        <v>595</v>
      </c>
      <c r="D352" s="668" t="s">
        <v>596</v>
      </c>
      <c r="E352" s="200"/>
      <c r="F352" s="200">
        <v>152122</v>
      </c>
      <c r="G352" s="151"/>
      <c r="H352" s="151"/>
      <c r="I352" s="151"/>
      <c r="J352" s="151"/>
      <c r="K352" s="151"/>
      <c r="L352" s="151"/>
      <c r="M352" s="151"/>
      <c r="N352" s="151"/>
      <c r="O352" s="151"/>
      <c r="P352" s="151"/>
      <c r="Q352" s="151">
        <f>SUM(G352:P352)</f>
        <v>0</v>
      </c>
      <c r="R352" s="706"/>
    </row>
    <row r="353" spans="1:18" ht="17.100000000000001" hidden="1" customHeight="1" x14ac:dyDescent="0.25">
      <c r="A353" s="199"/>
      <c r="B353" s="199"/>
      <c r="C353" s="387" t="s">
        <v>597</v>
      </c>
      <c r="D353" s="388" t="s">
        <v>598</v>
      </c>
      <c r="E353" s="201"/>
      <c r="F353" s="200">
        <v>154128</v>
      </c>
      <c r="G353" s="151"/>
      <c r="H353" s="151"/>
      <c r="I353" s="151"/>
      <c r="J353" s="151"/>
      <c r="K353" s="151"/>
      <c r="L353" s="151"/>
      <c r="M353" s="151"/>
      <c r="N353" s="151"/>
      <c r="O353" s="151"/>
      <c r="P353" s="151"/>
      <c r="Q353" s="151">
        <f>SUM(G353:P353)</f>
        <v>0</v>
      </c>
      <c r="R353" s="706"/>
    </row>
    <row r="354" spans="1:18" ht="17.100000000000001" hidden="1" customHeight="1" x14ac:dyDescent="0.25">
      <c r="A354" s="199"/>
      <c r="B354" s="199"/>
      <c r="C354" s="387" t="s">
        <v>1040</v>
      </c>
      <c r="D354" s="348" t="s">
        <v>591</v>
      </c>
      <c r="E354" s="200"/>
      <c r="F354" s="200">
        <v>152112</v>
      </c>
      <c r="G354" s="151"/>
      <c r="H354" s="151"/>
      <c r="I354" s="151"/>
      <c r="J354" s="151"/>
      <c r="K354" s="151"/>
      <c r="L354" s="151"/>
      <c r="M354" s="151"/>
      <c r="N354" s="151"/>
      <c r="O354" s="151"/>
      <c r="P354" s="151"/>
      <c r="Q354" s="151">
        <f>SUM(G354:P354)</f>
        <v>0</v>
      </c>
      <c r="R354" s="706"/>
    </row>
    <row r="355" spans="1:18" ht="17.100000000000001" hidden="1" customHeight="1" x14ac:dyDescent="0.25">
      <c r="A355" s="199"/>
      <c r="B355" s="199"/>
      <c r="C355" s="230" t="s">
        <v>91</v>
      </c>
      <c r="D355" s="389" t="s">
        <v>599</v>
      </c>
      <c r="E355" s="201"/>
      <c r="F355" s="200"/>
      <c r="G355" s="151"/>
      <c r="H355" s="151"/>
      <c r="I355" s="151"/>
      <c r="J355" s="151"/>
      <c r="K355" s="151"/>
      <c r="L355" s="151"/>
      <c r="M355" s="151"/>
      <c r="N355" s="151"/>
      <c r="O355" s="151"/>
      <c r="P355" s="151"/>
      <c r="Q355" s="151"/>
      <c r="R355" s="706"/>
    </row>
    <row r="356" spans="1:18" ht="17.100000000000001" customHeight="1" x14ac:dyDescent="0.25">
      <c r="A356" s="199"/>
      <c r="B356" s="199"/>
      <c r="C356" s="230" t="s">
        <v>93</v>
      </c>
      <c r="D356" s="390" t="s">
        <v>600</v>
      </c>
      <c r="E356" s="201"/>
      <c r="F356" s="201"/>
      <c r="G356" s="151"/>
      <c r="H356" s="151"/>
      <c r="I356" s="151"/>
      <c r="J356" s="151"/>
      <c r="K356" s="151"/>
      <c r="L356" s="151"/>
      <c r="M356" s="151"/>
      <c r="N356" s="151"/>
      <c r="O356" s="151"/>
      <c r="P356" s="151"/>
      <c r="Q356" s="151"/>
      <c r="R356" s="706"/>
    </row>
    <row r="357" spans="1:18" ht="17.100000000000001" customHeight="1" x14ac:dyDescent="0.25">
      <c r="A357" s="199"/>
      <c r="B357" s="199"/>
      <c r="C357" s="231" t="s">
        <v>477</v>
      </c>
      <c r="D357" s="603" t="s">
        <v>1125</v>
      </c>
      <c r="E357" s="200"/>
      <c r="F357" s="555">
        <v>152312</v>
      </c>
      <c r="G357" s="151"/>
      <c r="H357" s="151"/>
      <c r="I357" s="151"/>
      <c r="J357" s="151"/>
      <c r="K357" s="151"/>
      <c r="L357" s="151">
        <v>892</v>
      </c>
      <c r="M357" s="151"/>
      <c r="N357" s="151"/>
      <c r="O357" s="151"/>
      <c r="P357" s="151"/>
      <c r="Q357" s="151">
        <f t="shared" ref="Q357:Q359" si="28">SUM(G357:P357)</f>
        <v>892</v>
      </c>
      <c r="R357" s="706" t="s">
        <v>1295</v>
      </c>
    </row>
    <row r="358" spans="1:18" ht="25.5" customHeight="1" x14ac:dyDescent="0.25">
      <c r="A358" s="199"/>
      <c r="B358" s="199"/>
      <c r="C358" s="231" t="s">
        <v>478</v>
      </c>
      <c r="D358" s="603" t="s">
        <v>1126</v>
      </c>
      <c r="E358" s="201"/>
      <c r="F358" s="555">
        <v>152313</v>
      </c>
      <c r="G358" s="151"/>
      <c r="H358" s="151"/>
      <c r="I358" s="151"/>
      <c r="J358" s="151"/>
      <c r="K358" s="151"/>
      <c r="L358" s="151">
        <v>86</v>
      </c>
      <c r="M358" s="151"/>
      <c r="N358" s="151"/>
      <c r="O358" s="151"/>
      <c r="P358" s="151"/>
      <c r="Q358" s="151">
        <f t="shared" si="28"/>
        <v>86</v>
      </c>
      <c r="R358" s="706" t="s">
        <v>1295</v>
      </c>
    </row>
    <row r="359" spans="1:18" ht="14.25" hidden="1" customHeight="1" x14ac:dyDescent="0.25">
      <c r="A359" s="199"/>
      <c r="B359" s="199"/>
      <c r="C359" s="231" t="s">
        <v>601</v>
      </c>
      <c r="D359" s="575" t="s">
        <v>1127</v>
      </c>
      <c r="E359" s="200"/>
      <c r="F359" s="555">
        <v>152314</v>
      </c>
      <c r="G359" s="151"/>
      <c r="H359" s="151"/>
      <c r="I359" s="151"/>
      <c r="J359" s="151"/>
      <c r="K359" s="151"/>
      <c r="L359" s="151"/>
      <c r="M359" s="151"/>
      <c r="N359" s="151"/>
      <c r="O359" s="151"/>
      <c r="P359" s="151"/>
      <c r="Q359" s="151">
        <f t="shared" si="28"/>
        <v>0</v>
      </c>
      <c r="R359" s="706"/>
    </row>
    <row r="360" spans="1:18" ht="14.25" hidden="1" customHeight="1" x14ac:dyDescent="0.25">
      <c r="A360" s="199"/>
      <c r="B360" s="199"/>
      <c r="C360" s="231" t="s">
        <v>1003</v>
      </c>
      <c r="D360" s="575" t="s">
        <v>1128</v>
      </c>
      <c r="E360" s="286"/>
      <c r="F360" s="268">
        <v>152351</v>
      </c>
      <c r="G360" s="151"/>
      <c r="H360" s="151"/>
      <c r="I360" s="151"/>
      <c r="J360" s="151"/>
      <c r="K360" s="151"/>
      <c r="L360" s="151"/>
      <c r="M360" s="151"/>
      <c r="N360" s="151"/>
      <c r="O360" s="151"/>
      <c r="P360" s="151"/>
      <c r="Q360" s="151">
        <f>SUM(G360:P360)</f>
        <v>0</v>
      </c>
      <c r="R360" s="706"/>
    </row>
    <row r="361" spans="1:18" ht="17.100000000000001" hidden="1" customHeight="1" x14ac:dyDescent="0.25">
      <c r="A361" s="199"/>
      <c r="B361" s="199"/>
      <c r="C361" s="391"/>
      <c r="D361" s="186" t="s">
        <v>1026</v>
      </c>
      <c r="E361" s="201"/>
      <c r="F361" s="200"/>
      <c r="G361" s="151"/>
      <c r="H361" s="151"/>
      <c r="I361" s="151"/>
      <c r="J361" s="151"/>
      <c r="K361" s="151"/>
      <c r="L361" s="151"/>
      <c r="M361" s="151"/>
      <c r="N361" s="151"/>
      <c r="O361" s="151"/>
      <c r="P361" s="151"/>
      <c r="Q361" s="151"/>
      <c r="R361" s="706"/>
    </row>
    <row r="362" spans="1:18" ht="17.100000000000001" customHeight="1" x14ac:dyDescent="0.25">
      <c r="A362" s="199"/>
      <c r="B362" s="199"/>
      <c r="C362" s="232" t="s">
        <v>602</v>
      </c>
      <c r="D362" s="392" t="s">
        <v>603</v>
      </c>
      <c r="E362" s="201"/>
      <c r="F362" s="200">
        <v>152301</v>
      </c>
      <c r="G362" s="151"/>
      <c r="H362" s="151"/>
      <c r="I362" s="151"/>
      <c r="J362" s="151"/>
      <c r="K362" s="151"/>
      <c r="L362" s="151">
        <v>-978</v>
      </c>
      <c r="M362" s="151"/>
      <c r="N362" s="151"/>
      <c r="O362" s="151"/>
      <c r="P362" s="151"/>
      <c r="Q362" s="151">
        <f>SUM(G362:P362)</f>
        <v>-978</v>
      </c>
      <c r="R362" s="706" t="s">
        <v>1295</v>
      </c>
    </row>
    <row r="363" spans="1:18" ht="17.100000000000001" hidden="1" customHeight="1" x14ac:dyDescent="0.25">
      <c r="A363" s="199"/>
      <c r="B363" s="199"/>
      <c r="C363" s="232" t="s">
        <v>1041</v>
      </c>
      <c r="D363" s="357" t="s">
        <v>900</v>
      </c>
      <c r="E363" s="200"/>
      <c r="F363" s="200">
        <v>152309</v>
      </c>
      <c r="G363" s="151"/>
      <c r="H363" s="151"/>
      <c r="I363" s="151"/>
      <c r="J363" s="151"/>
      <c r="K363" s="151"/>
      <c r="L363" s="151"/>
      <c r="M363" s="151"/>
      <c r="N363" s="151"/>
      <c r="O363" s="151"/>
      <c r="P363" s="151"/>
      <c r="Q363" s="151">
        <f t="shared" ref="Q363:Q365" si="29">SUM(G363:P363)</f>
        <v>0</v>
      </c>
      <c r="R363" s="706"/>
    </row>
    <row r="364" spans="1:18" ht="17.100000000000001" hidden="1" customHeight="1" x14ac:dyDescent="0.25">
      <c r="A364" s="199"/>
      <c r="B364" s="199"/>
      <c r="C364" s="232" t="s">
        <v>1042</v>
      </c>
      <c r="D364" s="208" t="s">
        <v>926</v>
      </c>
      <c r="E364" s="286"/>
      <c r="F364" s="151">
        <v>152311</v>
      </c>
      <c r="G364" s="151"/>
      <c r="H364" s="151"/>
      <c r="I364" s="151"/>
      <c r="J364" s="151"/>
      <c r="K364" s="151"/>
      <c r="L364" s="151"/>
      <c r="M364" s="151"/>
      <c r="N364" s="151"/>
      <c r="O364" s="151"/>
      <c r="P364" s="151"/>
      <c r="Q364" s="151">
        <f t="shared" si="29"/>
        <v>0</v>
      </c>
      <c r="R364" s="706"/>
    </row>
    <row r="365" spans="1:18" ht="17.100000000000001" hidden="1" customHeight="1" x14ac:dyDescent="0.25">
      <c r="A365" s="199"/>
      <c r="B365" s="199"/>
      <c r="C365" s="232" t="s">
        <v>1043</v>
      </c>
      <c r="D365" s="397" t="s">
        <v>1044</v>
      </c>
      <c r="E365" s="200"/>
      <c r="F365" s="200">
        <v>154302</v>
      </c>
      <c r="G365" s="151"/>
      <c r="H365" s="151"/>
      <c r="I365" s="151"/>
      <c r="J365" s="151"/>
      <c r="K365" s="151"/>
      <c r="L365" s="151"/>
      <c r="M365" s="151"/>
      <c r="N365" s="151"/>
      <c r="O365" s="151"/>
      <c r="P365" s="151"/>
      <c r="Q365" s="151">
        <f t="shared" si="29"/>
        <v>0</v>
      </c>
      <c r="R365" s="706"/>
    </row>
    <row r="366" spans="1:18" ht="17.100000000000001" customHeight="1" x14ac:dyDescent="0.25">
      <c r="A366" s="199"/>
      <c r="B366" s="199"/>
      <c r="C366" s="391" t="s">
        <v>94</v>
      </c>
      <c r="D366" s="516" t="s">
        <v>604</v>
      </c>
      <c r="E366" s="200"/>
      <c r="F366" s="200"/>
      <c r="G366" s="151"/>
      <c r="H366" s="151"/>
      <c r="I366" s="151"/>
      <c r="J366" s="151"/>
      <c r="K366" s="151"/>
      <c r="L366" s="151"/>
      <c r="M366" s="151"/>
      <c r="N366" s="151"/>
      <c r="O366" s="151"/>
      <c r="P366" s="151"/>
      <c r="Q366" s="151"/>
      <c r="R366" s="706"/>
    </row>
    <row r="367" spans="1:18" ht="25.5" customHeight="1" x14ac:dyDescent="0.25">
      <c r="A367" s="199"/>
      <c r="B367" s="199"/>
      <c r="C367" s="231" t="s">
        <v>605</v>
      </c>
      <c r="D367" s="898" t="s">
        <v>1104</v>
      </c>
      <c r="E367" s="899"/>
      <c r="F367" s="200">
        <v>155470</v>
      </c>
      <c r="G367" s="151"/>
      <c r="H367" s="151"/>
      <c r="I367" s="151"/>
      <c r="J367" s="151"/>
      <c r="K367" s="151"/>
      <c r="L367" s="151"/>
      <c r="M367" s="151">
        <v>-3000</v>
      </c>
      <c r="N367" s="151"/>
      <c r="O367" s="151"/>
      <c r="P367" s="151"/>
      <c r="Q367" s="151">
        <f t="shared" ref="Q367:Q432" si="30">SUM(G367:P367)</f>
        <v>-3000</v>
      </c>
      <c r="R367" s="706" t="s">
        <v>1295</v>
      </c>
    </row>
    <row r="368" spans="1:18" ht="17.100000000000001" customHeight="1" x14ac:dyDescent="0.25">
      <c r="A368" s="199"/>
      <c r="B368" s="199"/>
      <c r="C368" s="231" t="s">
        <v>606</v>
      </c>
      <c r="D368" s="898" t="s">
        <v>1130</v>
      </c>
      <c r="E368" s="899"/>
      <c r="F368" s="555">
        <v>154410</v>
      </c>
      <c r="G368" s="151"/>
      <c r="H368" s="151"/>
      <c r="I368" s="151"/>
      <c r="J368" s="151"/>
      <c r="K368" s="151"/>
      <c r="L368" s="151"/>
      <c r="M368" s="151">
        <v>-827</v>
      </c>
      <c r="N368" s="151"/>
      <c r="O368" s="151"/>
      <c r="P368" s="151"/>
      <c r="Q368" s="151">
        <f t="shared" si="30"/>
        <v>-827</v>
      </c>
      <c r="R368" s="706" t="s">
        <v>1295</v>
      </c>
    </row>
    <row r="369" spans="1:18" ht="17.100000000000001" hidden="1" customHeight="1" x14ac:dyDescent="0.25">
      <c r="A369" s="576"/>
      <c r="B369" s="576"/>
      <c r="C369" s="231" t="s">
        <v>607</v>
      </c>
      <c r="D369" s="603" t="s">
        <v>1143</v>
      </c>
      <c r="E369" s="792"/>
      <c r="F369" s="585">
        <v>154413</v>
      </c>
      <c r="G369" s="510"/>
      <c r="H369" s="510"/>
      <c r="I369" s="510"/>
      <c r="J369" s="510"/>
      <c r="K369" s="510"/>
      <c r="L369" s="510"/>
      <c r="M369" s="510"/>
      <c r="N369" s="510"/>
      <c r="O369" s="510"/>
      <c r="P369" s="510"/>
      <c r="Q369" s="151">
        <f t="shared" si="30"/>
        <v>0</v>
      </c>
      <c r="R369" s="706"/>
    </row>
    <row r="370" spans="1:18" ht="17.100000000000001" hidden="1" customHeight="1" x14ac:dyDescent="0.25">
      <c r="A370" s="576"/>
      <c r="B370" s="576"/>
      <c r="C370" s="231" t="s">
        <v>608</v>
      </c>
      <c r="D370" s="603" t="s">
        <v>1144</v>
      </c>
      <c r="E370" s="792"/>
      <c r="F370" s="585">
        <v>154417</v>
      </c>
      <c r="G370" s="510"/>
      <c r="H370" s="510"/>
      <c r="I370" s="510"/>
      <c r="J370" s="510"/>
      <c r="K370" s="510"/>
      <c r="L370" s="510"/>
      <c r="M370" s="510"/>
      <c r="N370" s="510"/>
      <c r="O370" s="510"/>
      <c r="P370" s="510"/>
      <c r="Q370" s="151">
        <f t="shared" si="30"/>
        <v>0</v>
      </c>
      <c r="R370" s="706"/>
    </row>
    <row r="371" spans="1:18" ht="17.100000000000001" hidden="1" customHeight="1" x14ac:dyDescent="0.25">
      <c r="A371" s="576"/>
      <c r="B371" s="576"/>
      <c r="C371" s="231" t="s">
        <v>609</v>
      </c>
      <c r="D371" s="603" t="s">
        <v>1145</v>
      </c>
      <c r="E371" s="792"/>
      <c r="F371" s="585">
        <v>155484</v>
      </c>
      <c r="G371" s="510"/>
      <c r="H371" s="510"/>
      <c r="I371" s="510"/>
      <c r="J371" s="510"/>
      <c r="K371" s="510"/>
      <c r="L371" s="510"/>
      <c r="M371" s="510"/>
      <c r="N371" s="510"/>
      <c r="O371" s="510"/>
      <c r="P371" s="510"/>
      <c r="Q371" s="151">
        <f t="shared" si="30"/>
        <v>0</v>
      </c>
      <c r="R371" s="706"/>
    </row>
    <row r="372" spans="1:18" ht="17.100000000000001" hidden="1" customHeight="1" x14ac:dyDescent="0.25">
      <c r="A372" s="576"/>
      <c r="B372" s="576"/>
      <c r="C372" s="231" t="s">
        <v>610</v>
      </c>
      <c r="D372" s="604" t="s">
        <v>1157</v>
      </c>
      <c r="E372" s="792"/>
      <c r="F372" s="585">
        <v>154418</v>
      </c>
      <c r="G372" s="510"/>
      <c r="H372" s="510"/>
      <c r="I372" s="510"/>
      <c r="J372" s="510"/>
      <c r="K372" s="510"/>
      <c r="L372" s="510"/>
      <c r="M372" s="510"/>
      <c r="N372" s="510"/>
      <c r="O372" s="510"/>
      <c r="P372" s="510"/>
      <c r="Q372" s="151">
        <f t="shared" si="30"/>
        <v>0</v>
      </c>
      <c r="R372" s="706"/>
    </row>
    <row r="373" spans="1:18" ht="17.100000000000001" hidden="1" customHeight="1" x14ac:dyDescent="0.25">
      <c r="A373" s="576"/>
      <c r="B373" s="576"/>
      <c r="C373" s="231" t="s">
        <v>611</v>
      </c>
      <c r="D373" s="604" t="s">
        <v>1146</v>
      </c>
      <c r="E373" s="792"/>
      <c r="F373" s="585">
        <v>154419</v>
      </c>
      <c r="G373" s="510"/>
      <c r="H373" s="510"/>
      <c r="I373" s="510"/>
      <c r="J373" s="510"/>
      <c r="K373" s="510"/>
      <c r="L373" s="510"/>
      <c r="M373" s="510"/>
      <c r="N373" s="510"/>
      <c r="O373" s="510"/>
      <c r="P373" s="510"/>
      <c r="Q373" s="151">
        <f t="shared" si="30"/>
        <v>0</v>
      </c>
      <c r="R373" s="706"/>
    </row>
    <row r="374" spans="1:18" ht="17.100000000000001" hidden="1" customHeight="1" x14ac:dyDescent="0.25">
      <c r="A374" s="576"/>
      <c r="B374" s="576"/>
      <c r="C374" s="231" t="s">
        <v>612</v>
      </c>
      <c r="D374" s="604" t="s">
        <v>1147</v>
      </c>
      <c r="E374" s="792"/>
      <c r="F374" s="585">
        <v>154420</v>
      </c>
      <c r="G374" s="510"/>
      <c r="H374" s="510"/>
      <c r="I374" s="510"/>
      <c r="J374" s="510"/>
      <c r="K374" s="510"/>
      <c r="L374" s="510"/>
      <c r="M374" s="510"/>
      <c r="N374" s="510"/>
      <c r="O374" s="510"/>
      <c r="P374" s="510"/>
      <c r="Q374" s="151">
        <f t="shared" si="30"/>
        <v>0</v>
      </c>
      <c r="R374" s="706"/>
    </row>
    <row r="375" spans="1:18" ht="17.100000000000001" hidden="1" customHeight="1" x14ac:dyDescent="0.25">
      <c r="A375" s="576"/>
      <c r="B375" s="576"/>
      <c r="C375" s="231" t="s">
        <v>614</v>
      </c>
      <c r="D375" s="604" t="s">
        <v>1148</v>
      </c>
      <c r="E375" s="792"/>
      <c r="F375" s="585">
        <v>154424</v>
      </c>
      <c r="G375" s="510"/>
      <c r="H375" s="510"/>
      <c r="I375" s="510"/>
      <c r="J375" s="510"/>
      <c r="K375" s="510"/>
      <c r="L375" s="510"/>
      <c r="M375" s="510"/>
      <c r="N375" s="510"/>
      <c r="O375" s="510"/>
      <c r="P375" s="510"/>
      <c r="Q375" s="151">
        <f t="shared" si="30"/>
        <v>0</v>
      </c>
      <c r="R375" s="706"/>
    </row>
    <row r="376" spans="1:18" ht="17.100000000000001" hidden="1" customHeight="1" x14ac:dyDescent="0.25">
      <c r="A376" s="576"/>
      <c r="B376" s="576"/>
      <c r="C376" s="231" t="s">
        <v>615</v>
      </c>
      <c r="D376" s="604" t="s">
        <v>1149</v>
      </c>
      <c r="E376" s="792"/>
      <c r="F376" s="585">
        <v>154426</v>
      </c>
      <c r="G376" s="510"/>
      <c r="H376" s="510"/>
      <c r="I376" s="510"/>
      <c r="J376" s="510"/>
      <c r="K376" s="510"/>
      <c r="L376" s="510"/>
      <c r="M376" s="510"/>
      <c r="N376" s="510"/>
      <c r="O376" s="510"/>
      <c r="P376" s="510"/>
      <c r="Q376" s="151">
        <f t="shared" si="30"/>
        <v>0</v>
      </c>
      <c r="R376" s="706"/>
    </row>
    <row r="377" spans="1:18" ht="17.100000000000001" hidden="1" customHeight="1" x14ac:dyDescent="0.25">
      <c r="A377" s="576"/>
      <c r="B377" s="576"/>
      <c r="C377" s="231" t="s">
        <v>616</v>
      </c>
      <c r="D377" s="604" t="s">
        <v>1150</v>
      </c>
      <c r="E377" s="792"/>
      <c r="F377" s="585">
        <v>155494</v>
      </c>
      <c r="G377" s="510"/>
      <c r="H377" s="510"/>
      <c r="I377" s="510"/>
      <c r="J377" s="510"/>
      <c r="K377" s="510"/>
      <c r="L377" s="510"/>
      <c r="M377" s="510"/>
      <c r="N377" s="510"/>
      <c r="O377" s="510"/>
      <c r="P377" s="510"/>
      <c r="Q377" s="151">
        <f t="shared" si="30"/>
        <v>0</v>
      </c>
      <c r="R377" s="706"/>
    </row>
    <row r="378" spans="1:18" ht="17.100000000000001" hidden="1" customHeight="1" x14ac:dyDescent="0.25">
      <c r="A378" s="576"/>
      <c r="B378" s="576"/>
      <c r="C378" s="231" t="s">
        <v>617</v>
      </c>
      <c r="D378" s="604" t="s">
        <v>1151</v>
      </c>
      <c r="E378" s="792"/>
      <c r="F378" s="585">
        <v>154428</v>
      </c>
      <c r="G378" s="510"/>
      <c r="H378" s="510"/>
      <c r="I378" s="510"/>
      <c r="J378" s="510"/>
      <c r="K378" s="510"/>
      <c r="L378" s="510"/>
      <c r="M378" s="510"/>
      <c r="N378" s="510"/>
      <c r="O378" s="510"/>
      <c r="P378" s="510"/>
      <c r="Q378" s="151">
        <f t="shared" si="30"/>
        <v>0</v>
      </c>
      <c r="R378" s="706"/>
    </row>
    <row r="379" spans="1:18" ht="17.100000000000001" hidden="1" customHeight="1" x14ac:dyDescent="0.25">
      <c r="A379" s="576"/>
      <c r="B379" s="576"/>
      <c r="C379" s="231" t="s">
        <v>618</v>
      </c>
      <c r="D379" s="604" t="s">
        <v>1152</v>
      </c>
      <c r="E379" s="792"/>
      <c r="F379" s="585">
        <v>152439</v>
      </c>
      <c r="G379" s="510"/>
      <c r="H379" s="510"/>
      <c r="I379" s="510"/>
      <c r="J379" s="510"/>
      <c r="K379" s="510"/>
      <c r="L379" s="586"/>
      <c r="M379" s="510"/>
      <c r="N379" s="510"/>
      <c r="O379" s="510"/>
      <c r="P379" s="510"/>
      <c r="Q379" s="151">
        <f t="shared" si="30"/>
        <v>0</v>
      </c>
      <c r="R379" s="706"/>
    </row>
    <row r="380" spans="1:18" ht="17.100000000000001" hidden="1" customHeight="1" x14ac:dyDescent="0.25">
      <c r="A380" s="576"/>
      <c r="B380" s="576"/>
      <c r="C380" s="231" t="s">
        <v>619</v>
      </c>
      <c r="D380" s="604" t="s">
        <v>1153</v>
      </c>
      <c r="E380" s="792"/>
      <c r="F380" s="585">
        <v>154431</v>
      </c>
      <c r="G380" s="510"/>
      <c r="H380" s="510"/>
      <c r="I380" s="510"/>
      <c r="J380" s="510"/>
      <c r="K380" s="510"/>
      <c r="L380" s="510"/>
      <c r="M380" s="510"/>
      <c r="N380" s="510"/>
      <c r="O380" s="510"/>
      <c r="P380" s="510"/>
      <c r="Q380" s="151">
        <f t="shared" si="30"/>
        <v>0</v>
      </c>
      <c r="R380" s="706"/>
    </row>
    <row r="381" spans="1:18" ht="17.100000000000001" customHeight="1" x14ac:dyDescent="0.25">
      <c r="A381" s="576"/>
      <c r="B381" s="576"/>
      <c r="C381" s="231" t="s">
        <v>620</v>
      </c>
      <c r="D381" s="604" t="s">
        <v>1154</v>
      </c>
      <c r="E381" s="792"/>
      <c r="F381" s="585">
        <v>154436</v>
      </c>
      <c r="G381" s="510"/>
      <c r="H381" s="510"/>
      <c r="I381" s="510"/>
      <c r="J381" s="510"/>
      <c r="K381" s="510"/>
      <c r="L381" s="510"/>
      <c r="M381" s="510">
        <v>6</v>
      </c>
      <c r="N381" s="510"/>
      <c r="O381" s="510"/>
      <c r="P381" s="510"/>
      <c r="Q381" s="151">
        <f t="shared" si="30"/>
        <v>6</v>
      </c>
      <c r="R381" s="706" t="s">
        <v>1295</v>
      </c>
    </row>
    <row r="382" spans="1:18" ht="17.100000000000001" hidden="1" customHeight="1" x14ac:dyDescent="0.25">
      <c r="A382" s="576"/>
      <c r="B382" s="576"/>
      <c r="C382" s="231" t="s">
        <v>621</v>
      </c>
      <c r="D382" s="900" t="s">
        <v>1155</v>
      </c>
      <c r="E382" s="901"/>
      <c r="F382" s="585">
        <v>152438</v>
      </c>
      <c r="G382" s="510"/>
      <c r="H382" s="510"/>
      <c r="I382" s="510"/>
      <c r="J382" s="510"/>
      <c r="K382" s="510"/>
      <c r="L382" s="510"/>
      <c r="M382" s="510"/>
      <c r="N382" s="510"/>
      <c r="O382" s="510"/>
      <c r="P382" s="510"/>
      <c r="Q382" s="151">
        <f t="shared" si="30"/>
        <v>0</v>
      </c>
      <c r="R382" s="706"/>
    </row>
    <row r="383" spans="1:18" ht="17.100000000000001" hidden="1" customHeight="1" x14ac:dyDescent="0.25">
      <c r="A383" s="576"/>
      <c r="B383" s="576"/>
      <c r="C383" s="231" t="s">
        <v>622</v>
      </c>
      <c r="D383" s="900" t="s">
        <v>1156</v>
      </c>
      <c r="E383" s="901"/>
      <c r="F383" s="585">
        <v>154437</v>
      </c>
      <c r="G383" s="510"/>
      <c r="H383" s="510"/>
      <c r="I383" s="510"/>
      <c r="J383" s="510"/>
      <c r="K383" s="510"/>
      <c r="L383" s="510"/>
      <c r="M383" s="510"/>
      <c r="N383" s="510"/>
      <c r="O383" s="510"/>
      <c r="P383" s="510"/>
      <c r="Q383" s="151">
        <f t="shared" si="30"/>
        <v>0</v>
      </c>
      <c r="R383" s="706"/>
    </row>
    <row r="384" spans="1:18" ht="17.100000000000001" customHeight="1" x14ac:dyDescent="0.25">
      <c r="A384" s="576"/>
      <c r="B384" s="576"/>
      <c r="C384" s="231" t="s">
        <v>623</v>
      </c>
      <c r="D384" s="578" t="s">
        <v>1158</v>
      </c>
      <c r="E384" s="574"/>
      <c r="F384" s="585">
        <v>152414</v>
      </c>
      <c r="G384" s="510"/>
      <c r="H384" s="510"/>
      <c r="I384" s="510"/>
      <c r="J384" s="510"/>
      <c r="K384" s="510"/>
      <c r="L384" s="510">
        <v>-2500</v>
      </c>
      <c r="M384" s="510">
        <v>-2500</v>
      </c>
      <c r="N384" s="510"/>
      <c r="O384" s="510"/>
      <c r="P384" s="510"/>
      <c r="Q384" s="151">
        <f t="shared" si="30"/>
        <v>-5000</v>
      </c>
      <c r="R384" s="706" t="s">
        <v>1295</v>
      </c>
    </row>
    <row r="385" spans="1:18" ht="17.100000000000001" hidden="1" customHeight="1" x14ac:dyDescent="0.25">
      <c r="A385" s="199"/>
      <c r="B385" s="199"/>
      <c r="C385" s="231" t="s">
        <v>624</v>
      </c>
      <c r="D385" s="357" t="s">
        <v>911</v>
      </c>
      <c r="E385" s="200"/>
      <c r="F385" s="268">
        <v>155451</v>
      </c>
      <c r="G385" s="151"/>
      <c r="H385" s="151"/>
      <c r="I385" s="151"/>
      <c r="J385" s="151"/>
      <c r="K385" s="151"/>
      <c r="L385" s="151"/>
      <c r="M385" s="151"/>
      <c r="N385" s="151"/>
      <c r="O385" s="151"/>
      <c r="P385" s="151"/>
      <c r="Q385" s="151">
        <f t="shared" si="30"/>
        <v>0</v>
      </c>
      <c r="R385" s="706"/>
    </row>
    <row r="386" spans="1:18" ht="17.100000000000001" hidden="1" customHeight="1" x14ac:dyDescent="0.25">
      <c r="A386" s="199"/>
      <c r="B386" s="199"/>
      <c r="C386" s="231" t="s">
        <v>625</v>
      </c>
      <c r="D386" s="277" t="s">
        <v>629</v>
      </c>
      <c r="E386" s="200"/>
      <c r="F386" s="555">
        <v>154468</v>
      </c>
      <c r="G386" s="151"/>
      <c r="H386" s="151"/>
      <c r="I386" s="151"/>
      <c r="J386" s="151"/>
      <c r="K386" s="151"/>
      <c r="L386" s="151"/>
      <c r="M386" s="151"/>
      <c r="N386" s="151"/>
      <c r="O386" s="151"/>
      <c r="P386" s="151"/>
      <c r="Q386" s="151">
        <f t="shared" si="30"/>
        <v>0</v>
      </c>
      <c r="R386" s="706"/>
    </row>
    <row r="387" spans="1:18" ht="17.100000000000001" hidden="1" customHeight="1" x14ac:dyDescent="0.25">
      <c r="A387" s="576"/>
      <c r="B387" s="576"/>
      <c r="C387" s="231" t="s">
        <v>626</v>
      </c>
      <c r="D387" s="580" t="s">
        <v>1215</v>
      </c>
      <c r="E387" s="574"/>
      <c r="F387" s="585">
        <v>154439</v>
      </c>
      <c r="G387" s="510"/>
      <c r="H387" s="510"/>
      <c r="I387" s="510"/>
      <c r="J387" s="510"/>
      <c r="K387" s="510"/>
      <c r="L387" s="510"/>
      <c r="M387" s="510"/>
      <c r="N387" s="510"/>
      <c r="O387" s="510"/>
      <c r="P387" s="510"/>
      <c r="Q387" s="510">
        <f t="shared" si="30"/>
        <v>0</v>
      </c>
      <c r="R387" s="706"/>
    </row>
    <row r="388" spans="1:18" ht="17.100000000000001" customHeight="1" x14ac:dyDescent="0.25">
      <c r="A388" s="576"/>
      <c r="B388" s="576"/>
      <c r="C388" s="231" t="s">
        <v>627</v>
      </c>
      <c r="D388" s="580" t="s">
        <v>1216</v>
      </c>
      <c r="E388" s="574"/>
      <c r="F388" s="585">
        <v>154440</v>
      </c>
      <c r="G388" s="510"/>
      <c r="H388" s="510"/>
      <c r="I388" s="510"/>
      <c r="J388" s="510"/>
      <c r="K388" s="510"/>
      <c r="L388" s="510"/>
      <c r="M388" s="510">
        <v>-784</v>
      </c>
      <c r="N388" s="510"/>
      <c r="O388" s="510"/>
      <c r="P388" s="510"/>
      <c r="Q388" s="510">
        <f t="shared" si="30"/>
        <v>-784</v>
      </c>
      <c r="R388" s="706" t="s">
        <v>1295</v>
      </c>
    </row>
    <row r="389" spans="1:18" ht="17.100000000000001" hidden="1" customHeight="1" x14ac:dyDescent="0.25">
      <c r="A389" s="576"/>
      <c r="B389" s="576"/>
      <c r="C389" s="231" t="s">
        <v>1211</v>
      </c>
      <c r="D389" s="580" t="s">
        <v>1217</v>
      </c>
      <c r="E389" s="574"/>
      <c r="F389" s="574">
        <v>154493</v>
      </c>
      <c r="G389" s="510"/>
      <c r="H389" s="510"/>
      <c r="I389" s="510"/>
      <c r="J389" s="510"/>
      <c r="K389" s="510"/>
      <c r="L389" s="510"/>
      <c r="M389" s="510"/>
      <c r="N389" s="510"/>
      <c r="O389" s="510"/>
      <c r="P389" s="510"/>
      <c r="Q389" s="510">
        <f t="shared" si="30"/>
        <v>0</v>
      </c>
      <c r="R389" s="706"/>
    </row>
    <row r="390" spans="1:18" ht="17.100000000000001" customHeight="1" x14ac:dyDescent="0.25">
      <c r="A390" s="576"/>
      <c r="B390" s="576"/>
      <c r="C390" s="231" t="s">
        <v>1212</v>
      </c>
      <c r="D390" s="573" t="s">
        <v>1219</v>
      </c>
      <c r="E390" s="574"/>
      <c r="F390" s="585">
        <v>154441</v>
      </c>
      <c r="G390" s="563"/>
      <c r="H390" s="563"/>
      <c r="I390" s="563"/>
      <c r="J390" s="563"/>
      <c r="K390" s="563"/>
      <c r="L390" s="563"/>
      <c r="M390" s="563">
        <v>-1500</v>
      </c>
      <c r="N390" s="563"/>
      <c r="O390" s="563"/>
      <c r="P390" s="563"/>
      <c r="Q390" s="510">
        <f t="shared" si="30"/>
        <v>-1500</v>
      </c>
      <c r="R390" s="706" t="s">
        <v>1295</v>
      </c>
    </row>
    <row r="391" spans="1:18" ht="17.100000000000001" customHeight="1" x14ac:dyDescent="0.25">
      <c r="A391" s="576"/>
      <c r="B391" s="576"/>
      <c r="C391" s="231" t="s">
        <v>1213</v>
      </c>
      <c r="D391" s="520" t="s">
        <v>1139</v>
      </c>
      <c r="E391" s="518"/>
      <c r="F391" s="654">
        <v>152440</v>
      </c>
      <c r="G391" s="151"/>
      <c r="H391" s="151"/>
      <c r="I391" s="151"/>
      <c r="J391" s="151"/>
      <c r="K391" s="151"/>
      <c r="L391" s="151">
        <v>726</v>
      </c>
      <c r="M391" s="151"/>
      <c r="N391" s="151"/>
      <c r="O391" s="151"/>
      <c r="P391" s="151"/>
      <c r="Q391" s="151">
        <f t="shared" ref="Q391:Q396" si="31">SUM(G391:P391)</f>
        <v>726</v>
      </c>
      <c r="R391" s="706" t="s">
        <v>1295</v>
      </c>
    </row>
    <row r="392" spans="1:18" ht="17.100000000000001" hidden="1" customHeight="1" x14ac:dyDescent="0.25">
      <c r="A392" s="641"/>
      <c r="B392" s="641"/>
      <c r="C392" s="231" t="s">
        <v>1214</v>
      </c>
      <c r="D392" s="643" t="s">
        <v>1238</v>
      </c>
      <c r="E392" s="640"/>
      <c r="F392" s="653">
        <v>155404</v>
      </c>
      <c r="G392" s="638"/>
      <c r="H392" s="638"/>
      <c r="I392" s="638"/>
      <c r="J392" s="638"/>
      <c r="K392" s="638"/>
      <c r="L392" s="638"/>
      <c r="M392" s="638"/>
      <c r="N392" s="638"/>
      <c r="O392" s="638"/>
      <c r="P392" s="638"/>
      <c r="Q392" s="151">
        <f t="shared" si="31"/>
        <v>0</v>
      </c>
      <c r="R392" s="706"/>
    </row>
    <row r="393" spans="1:18" ht="17.100000000000001" hidden="1" customHeight="1" x14ac:dyDescent="0.25">
      <c r="A393" s="641"/>
      <c r="B393" s="641"/>
      <c r="C393" s="231" t="s">
        <v>1233</v>
      </c>
      <c r="D393" s="643" t="s">
        <v>1240</v>
      </c>
      <c r="E393" s="640"/>
      <c r="F393" s="653">
        <v>154443</v>
      </c>
      <c r="G393" s="638"/>
      <c r="H393" s="638"/>
      <c r="I393" s="638"/>
      <c r="J393" s="638"/>
      <c r="K393" s="638"/>
      <c r="L393" s="638"/>
      <c r="M393" s="638"/>
      <c r="N393" s="638"/>
      <c r="O393" s="638"/>
      <c r="P393" s="638"/>
      <c r="Q393" s="638">
        <f t="shared" si="31"/>
        <v>0</v>
      </c>
      <c r="R393" s="706"/>
    </row>
    <row r="394" spans="1:18" ht="17.100000000000001" hidden="1" customHeight="1" x14ac:dyDescent="0.25">
      <c r="A394" s="641"/>
      <c r="B394" s="641"/>
      <c r="C394" s="231" t="s">
        <v>1239</v>
      </c>
      <c r="D394" s="643" t="s">
        <v>1241</v>
      </c>
      <c r="E394" s="640"/>
      <c r="F394" s="640">
        <v>152425</v>
      </c>
      <c r="G394" s="638"/>
      <c r="H394" s="638"/>
      <c r="I394" s="638"/>
      <c r="J394" s="638"/>
      <c r="K394" s="638"/>
      <c r="L394" s="638"/>
      <c r="M394" s="638"/>
      <c r="N394" s="638"/>
      <c r="O394" s="638"/>
      <c r="P394" s="638"/>
      <c r="Q394" s="638">
        <f t="shared" si="31"/>
        <v>0</v>
      </c>
      <c r="R394" s="706"/>
    </row>
    <row r="395" spans="1:18" ht="17.100000000000001" customHeight="1" x14ac:dyDescent="0.25">
      <c r="A395" s="757"/>
      <c r="B395" s="757"/>
      <c r="C395" s="767" t="s">
        <v>1301</v>
      </c>
      <c r="D395" s="766" t="s">
        <v>1302</v>
      </c>
      <c r="E395" s="640"/>
      <c r="F395" s="653">
        <v>154444</v>
      </c>
      <c r="G395" s="764"/>
      <c r="H395" s="764"/>
      <c r="I395" s="764"/>
      <c r="J395" s="764"/>
      <c r="K395" s="764"/>
      <c r="L395" s="764"/>
      <c r="M395" s="764">
        <v>4686</v>
      </c>
      <c r="N395" s="764"/>
      <c r="O395" s="764"/>
      <c r="P395" s="764"/>
      <c r="Q395" s="638">
        <f t="shared" si="31"/>
        <v>4686</v>
      </c>
      <c r="R395" s="762" t="s">
        <v>1295</v>
      </c>
    </row>
    <row r="396" spans="1:18" ht="17.100000000000001" customHeight="1" x14ac:dyDescent="0.25">
      <c r="A396" s="757"/>
      <c r="B396" s="757"/>
      <c r="C396" s="767" t="s">
        <v>1318</v>
      </c>
      <c r="D396" s="766" t="s">
        <v>1319</v>
      </c>
      <c r="E396" s="640"/>
      <c r="F396" s="640">
        <v>152441</v>
      </c>
      <c r="G396" s="764"/>
      <c r="H396" s="764"/>
      <c r="I396" s="764"/>
      <c r="J396" s="764"/>
      <c r="K396" s="764"/>
      <c r="L396" s="764">
        <v>1552</v>
      </c>
      <c r="M396" s="764"/>
      <c r="N396" s="764"/>
      <c r="O396" s="764"/>
      <c r="P396" s="764"/>
      <c r="Q396" s="638">
        <f t="shared" si="31"/>
        <v>1552</v>
      </c>
      <c r="R396" s="762" t="s">
        <v>1295</v>
      </c>
    </row>
    <row r="397" spans="1:18" ht="17.100000000000001" customHeight="1" x14ac:dyDescent="0.25">
      <c r="A397" s="199"/>
      <c r="B397" s="199"/>
      <c r="C397" s="393"/>
      <c r="D397" s="186" t="s">
        <v>1026</v>
      </c>
      <c r="E397" s="200"/>
      <c r="F397" s="151"/>
      <c r="G397" s="151"/>
      <c r="H397" s="151"/>
      <c r="I397" s="151"/>
      <c r="J397" s="151"/>
      <c r="K397" s="151"/>
      <c r="L397" s="151"/>
      <c r="M397" s="151"/>
      <c r="N397" s="151"/>
      <c r="O397" s="151"/>
      <c r="P397" s="151"/>
      <c r="Q397" s="151"/>
      <c r="R397" s="706"/>
    </row>
    <row r="398" spans="1:18" ht="17.100000000000001" hidden="1" customHeight="1" x14ac:dyDescent="0.25">
      <c r="A398" s="199"/>
      <c r="B398" s="199"/>
      <c r="C398" s="231" t="s">
        <v>636</v>
      </c>
      <c r="D398" s="277" t="s">
        <v>637</v>
      </c>
      <c r="E398" s="200"/>
      <c r="F398" s="151">
        <v>155420</v>
      </c>
      <c r="G398" s="151"/>
      <c r="H398" s="151"/>
      <c r="I398" s="151"/>
      <c r="J398" s="151"/>
      <c r="K398" s="151"/>
      <c r="L398" s="151"/>
      <c r="M398" s="151"/>
      <c r="N398" s="151"/>
      <c r="O398" s="151"/>
      <c r="P398" s="151"/>
      <c r="Q398" s="151">
        <f t="shared" si="30"/>
        <v>0</v>
      </c>
      <c r="R398" s="706"/>
    </row>
    <row r="399" spans="1:18" ht="26.25" customHeight="1" x14ac:dyDescent="0.25">
      <c r="A399" s="199"/>
      <c r="B399" s="199"/>
      <c r="C399" s="231" t="s">
        <v>638</v>
      </c>
      <c r="D399" s="394" t="s">
        <v>645</v>
      </c>
      <c r="E399" s="200"/>
      <c r="F399" s="151">
        <v>152405</v>
      </c>
      <c r="G399" s="151"/>
      <c r="H399" s="151"/>
      <c r="I399" s="151"/>
      <c r="J399" s="151"/>
      <c r="K399" s="151"/>
      <c r="L399" s="151">
        <v>-150</v>
      </c>
      <c r="M399" s="151">
        <v>150</v>
      </c>
      <c r="N399" s="151"/>
      <c r="O399" s="151"/>
      <c r="P399" s="151"/>
      <c r="Q399" s="151">
        <f t="shared" si="30"/>
        <v>0</v>
      </c>
      <c r="R399" s="706" t="s">
        <v>1294</v>
      </c>
    </row>
    <row r="400" spans="1:18" ht="18" hidden="1" customHeight="1" x14ac:dyDescent="0.25">
      <c r="A400" s="199"/>
      <c r="B400" s="199"/>
      <c r="C400" s="231" t="s">
        <v>639</v>
      </c>
      <c r="D400" s="277" t="s">
        <v>630</v>
      </c>
      <c r="E400" s="200"/>
      <c r="F400" s="151">
        <v>154411</v>
      </c>
      <c r="G400" s="151"/>
      <c r="H400" s="151"/>
      <c r="I400" s="151"/>
      <c r="J400" s="151"/>
      <c r="K400" s="151"/>
      <c r="L400" s="151"/>
      <c r="M400" s="151"/>
      <c r="N400" s="151"/>
      <c r="O400" s="151"/>
      <c r="P400" s="151"/>
      <c r="Q400" s="151">
        <f t="shared" si="30"/>
        <v>0</v>
      </c>
      <c r="R400" s="706"/>
    </row>
    <row r="401" spans="1:18" ht="17.25" hidden="1" customHeight="1" x14ac:dyDescent="0.25">
      <c r="A401" s="199"/>
      <c r="B401" s="199"/>
      <c r="C401" s="231" t="s">
        <v>640</v>
      </c>
      <c r="D401" s="381" t="s">
        <v>632</v>
      </c>
      <c r="E401" s="200"/>
      <c r="F401" s="151">
        <v>155426</v>
      </c>
      <c r="G401" s="151"/>
      <c r="H401" s="151"/>
      <c r="I401" s="151"/>
      <c r="J401" s="151"/>
      <c r="K401" s="151"/>
      <c r="L401" s="151"/>
      <c r="M401" s="151"/>
      <c r="N401" s="151"/>
      <c r="O401" s="151"/>
      <c r="P401" s="151"/>
      <c r="Q401" s="151">
        <f t="shared" si="30"/>
        <v>0</v>
      </c>
      <c r="R401" s="706"/>
    </row>
    <row r="402" spans="1:18" ht="18" customHeight="1" x14ac:dyDescent="0.25">
      <c r="A402" s="199"/>
      <c r="B402" s="199"/>
      <c r="C402" s="231" t="s">
        <v>641</v>
      </c>
      <c r="D402" s="381" t="s">
        <v>633</v>
      </c>
      <c r="E402" s="200"/>
      <c r="F402" s="151">
        <v>152426</v>
      </c>
      <c r="G402" s="151"/>
      <c r="H402" s="151"/>
      <c r="I402" s="151"/>
      <c r="J402" s="151"/>
      <c r="K402" s="151"/>
      <c r="L402" s="151">
        <v>-611</v>
      </c>
      <c r="M402" s="151"/>
      <c r="N402" s="151"/>
      <c r="O402" s="151"/>
      <c r="P402" s="151"/>
      <c r="Q402" s="151">
        <f t="shared" si="30"/>
        <v>-611</v>
      </c>
      <c r="R402" s="706" t="s">
        <v>1295</v>
      </c>
    </row>
    <row r="403" spans="1:18" ht="18" hidden="1" customHeight="1" x14ac:dyDescent="0.25">
      <c r="A403" s="199"/>
      <c r="B403" s="199"/>
      <c r="C403" s="231" t="s">
        <v>642</v>
      </c>
      <c r="D403" s="381" t="s">
        <v>635</v>
      </c>
      <c r="E403" s="200"/>
      <c r="F403" s="151">
        <v>155427</v>
      </c>
      <c r="G403" s="151"/>
      <c r="H403" s="151"/>
      <c r="I403" s="151"/>
      <c r="J403" s="151"/>
      <c r="K403" s="151"/>
      <c r="L403" s="151"/>
      <c r="M403" s="151"/>
      <c r="N403" s="151"/>
      <c r="O403" s="151"/>
      <c r="P403" s="151"/>
      <c r="Q403" s="151">
        <f t="shared" si="30"/>
        <v>0</v>
      </c>
      <c r="R403" s="706"/>
    </row>
    <row r="404" spans="1:18" ht="18" hidden="1" customHeight="1" x14ac:dyDescent="0.25">
      <c r="A404" s="199"/>
      <c r="B404" s="199"/>
      <c r="C404" s="231" t="s">
        <v>643</v>
      </c>
      <c r="D404" s="477" t="s">
        <v>901</v>
      </c>
      <c r="E404" s="151"/>
      <c r="F404" s="200">
        <v>151422</v>
      </c>
      <c r="G404" s="151"/>
      <c r="H404" s="151"/>
      <c r="I404" s="151"/>
      <c r="J404" s="151"/>
      <c r="K404" s="151"/>
      <c r="L404" s="151"/>
      <c r="M404" s="151"/>
      <c r="N404" s="151"/>
      <c r="O404" s="151"/>
      <c r="P404" s="151"/>
      <c r="Q404" s="151">
        <f t="shared" si="30"/>
        <v>0</v>
      </c>
      <c r="R404" s="706"/>
    </row>
    <row r="405" spans="1:18" ht="23.25" hidden="1" customHeight="1" x14ac:dyDescent="0.25">
      <c r="A405" s="199"/>
      <c r="B405" s="199"/>
      <c r="C405" s="231" t="s">
        <v>644</v>
      </c>
      <c r="D405" s="383" t="s">
        <v>902</v>
      </c>
      <c r="E405" s="200"/>
      <c r="F405" s="200">
        <v>155434</v>
      </c>
      <c r="G405" s="151"/>
      <c r="H405" s="151"/>
      <c r="I405" s="151"/>
      <c r="J405" s="151"/>
      <c r="K405" s="151"/>
      <c r="L405" s="151"/>
      <c r="M405" s="151"/>
      <c r="N405" s="151"/>
      <c r="O405" s="151"/>
      <c r="P405" s="151"/>
      <c r="Q405" s="151">
        <f t="shared" si="30"/>
        <v>0</v>
      </c>
      <c r="R405" s="706"/>
    </row>
    <row r="406" spans="1:18" ht="23.25" hidden="1" customHeight="1" x14ac:dyDescent="0.25">
      <c r="A406" s="199"/>
      <c r="B406" s="199"/>
      <c r="C406" s="231" t="s">
        <v>913</v>
      </c>
      <c r="D406" s="208" t="s">
        <v>903</v>
      </c>
      <c r="E406" s="200"/>
      <c r="F406" s="200">
        <v>151423</v>
      </c>
      <c r="G406" s="151"/>
      <c r="H406" s="151"/>
      <c r="I406" s="151"/>
      <c r="J406" s="151"/>
      <c r="K406" s="151"/>
      <c r="L406" s="151"/>
      <c r="M406" s="151"/>
      <c r="N406" s="151"/>
      <c r="O406" s="151"/>
      <c r="P406" s="151"/>
      <c r="Q406" s="151">
        <f t="shared" si="30"/>
        <v>0</v>
      </c>
      <c r="R406" s="706"/>
    </row>
    <row r="407" spans="1:18" ht="17.25" hidden="1" customHeight="1" x14ac:dyDescent="0.25">
      <c r="A407" s="199"/>
      <c r="B407" s="199"/>
      <c r="C407" s="231" t="s">
        <v>914</v>
      </c>
      <c r="D407" s="208" t="s">
        <v>904</v>
      </c>
      <c r="E407" s="200"/>
      <c r="F407" s="151">
        <v>155436</v>
      </c>
      <c r="G407" s="151"/>
      <c r="H407" s="151"/>
      <c r="I407" s="151"/>
      <c r="J407" s="151"/>
      <c r="K407" s="151"/>
      <c r="L407" s="151"/>
      <c r="M407" s="151"/>
      <c r="N407" s="151"/>
      <c r="O407" s="151"/>
      <c r="P407" s="151"/>
      <c r="Q407" s="151">
        <f t="shared" si="30"/>
        <v>0</v>
      </c>
      <c r="R407" s="706"/>
    </row>
    <row r="408" spans="1:18" ht="23.25" hidden="1" customHeight="1" x14ac:dyDescent="0.25">
      <c r="A408" s="199"/>
      <c r="B408" s="199"/>
      <c r="C408" s="231" t="s">
        <v>915</v>
      </c>
      <c r="D408" s="208" t="s">
        <v>905</v>
      </c>
      <c r="E408" s="200"/>
      <c r="F408" s="151">
        <v>155439</v>
      </c>
      <c r="G408" s="151"/>
      <c r="H408" s="151"/>
      <c r="I408" s="151"/>
      <c r="J408" s="151"/>
      <c r="K408" s="151"/>
      <c r="L408" s="151"/>
      <c r="M408" s="151"/>
      <c r="N408" s="151"/>
      <c r="O408" s="151"/>
      <c r="P408" s="151"/>
      <c r="Q408" s="151">
        <f t="shared" si="30"/>
        <v>0</v>
      </c>
      <c r="R408" s="706"/>
    </row>
    <row r="409" spans="1:18" ht="23.25" hidden="1" customHeight="1" x14ac:dyDescent="0.25">
      <c r="A409" s="199"/>
      <c r="B409" s="199"/>
      <c r="C409" s="231" t="s">
        <v>916</v>
      </c>
      <c r="D409" s="208" t="s">
        <v>906</v>
      </c>
      <c r="E409" s="200"/>
      <c r="F409" s="151">
        <v>155445</v>
      </c>
      <c r="G409" s="151"/>
      <c r="H409" s="151"/>
      <c r="I409" s="151"/>
      <c r="J409" s="151"/>
      <c r="K409" s="151"/>
      <c r="L409" s="151"/>
      <c r="M409" s="151"/>
      <c r="N409" s="151"/>
      <c r="O409" s="151"/>
      <c r="P409" s="151"/>
      <c r="Q409" s="151">
        <f t="shared" si="30"/>
        <v>0</v>
      </c>
      <c r="R409" s="706"/>
    </row>
    <row r="410" spans="1:18" ht="23.25" hidden="1" customHeight="1" x14ac:dyDescent="0.25">
      <c r="A410" s="199"/>
      <c r="B410" s="199"/>
      <c r="C410" s="231" t="s">
        <v>917</v>
      </c>
      <c r="D410" s="208" t="s">
        <v>907</v>
      </c>
      <c r="E410" s="200"/>
      <c r="F410" s="151">
        <v>155448</v>
      </c>
      <c r="G410" s="151"/>
      <c r="H410" s="151"/>
      <c r="I410" s="151"/>
      <c r="J410" s="151"/>
      <c r="K410" s="151"/>
      <c r="L410" s="151"/>
      <c r="M410" s="151"/>
      <c r="N410" s="151"/>
      <c r="O410" s="151"/>
      <c r="P410" s="151"/>
      <c r="Q410" s="151">
        <f t="shared" si="30"/>
        <v>0</v>
      </c>
      <c r="R410" s="706"/>
    </row>
    <row r="411" spans="1:18" ht="23.25" hidden="1" customHeight="1" x14ac:dyDescent="0.25">
      <c r="A411" s="199"/>
      <c r="B411" s="199"/>
      <c r="C411" s="231" t="s">
        <v>918</v>
      </c>
      <c r="D411" s="208" t="s">
        <v>908</v>
      </c>
      <c r="E411" s="200"/>
      <c r="F411" s="151">
        <v>152433</v>
      </c>
      <c r="G411" s="151"/>
      <c r="H411" s="151"/>
      <c r="I411" s="151"/>
      <c r="J411" s="151"/>
      <c r="K411" s="151"/>
      <c r="L411" s="151"/>
      <c r="M411" s="151"/>
      <c r="N411" s="151"/>
      <c r="O411" s="151"/>
      <c r="P411" s="151"/>
      <c r="Q411" s="151">
        <f t="shared" si="30"/>
        <v>0</v>
      </c>
      <c r="R411" s="706"/>
    </row>
    <row r="412" spans="1:18" ht="23.25" hidden="1" customHeight="1" x14ac:dyDescent="0.25">
      <c r="A412" s="199"/>
      <c r="B412" s="199"/>
      <c r="C412" s="231" t="s">
        <v>919</v>
      </c>
      <c r="D412" s="208" t="s">
        <v>909</v>
      </c>
      <c r="E412" s="200"/>
      <c r="F412" s="151">
        <v>155450</v>
      </c>
      <c r="G412" s="151"/>
      <c r="H412" s="151"/>
      <c r="I412" s="151"/>
      <c r="J412" s="151"/>
      <c r="K412" s="151"/>
      <c r="L412" s="151"/>
      <c r="M412" s="151"/>
      <c r="N412" s="151"/>
      <c r="O412" s="151"/>
      <c r="P412" s="151"/>
      <c r="Q412" s="151">
        <f t="shared" si="30"/>
        <v>0</v>
      </c>
      <c r="R412" s="706"/>
    </row>
    <row r="413" spans="1:18" ht="23.25" hidden="1" customHeight="1" x14ac:dyDescent="0.25">
      <c r="A413" s="199"/>
      <c r="B413" s="199"/>
      <c r="C413" s="231" t="s">
        <v>920</v>
      </c>
      <c r="D413" s="208" t="s">
        <v>910</v>
      </c>
      <c r="E413" s="200"/>
      <c r="F413" s="151">
        <v>155449</v>
      </c>
      <c r="G413" s="151"/>
      <c r="H413" s="151"/>
      <c r="I413" s="151"/>
      <c r="J413" s="151"/>
      <c r="K413" s="151"/>
      <c r="L413" s="151"/>
      <c r="M413" s="151"/>
      <c r="N413" s="151"/>
      <c r="O413" s="151"/>
      <c r="P413" s="151"/>
      <c r="Q413" s="151">
        <f t="shared" si="30"/>
        <v>0</v>
      </c>
      <c r="R413" s="706"/>
    </row>
    <row r="414" spans="1:18" ht="23.25" hidden="1" customHeight="1" x14ac:dyDescent="0.25">
      <c r="A414" s="199"/>
      <c r="B414" s="199"/>
      <c r="C414" s="231" t="s">
        <v>921</v>
      </c>
      <c r="D414" s="365" t="s">
        <v>613</v>
      </c>
      <c r="E414" s="200"/>
      <c r="F414" s="200">
        <v>152420</v>
      </c>
      <c r="G414" s="151"/>
      <c r="H414" s="151"/>
      <c r="I414" s="151"/>
      <c r="J414" s="151"/>
      <c r="K414" s="151"/>
      <c r="L414" s="151"/>
      <c r="M414" s="151"/>
      <c r="N414" s="151"/>
      <c r="O414" s="151"/>
      <c r="P414" s="151"/>
      <c r="Q414" s="151">
        <f t="shared" si="30"/>
        <v>0</v>
      </c>
      <c r="R414" s="706"/>
    </row>
    <row r="415" spans="1:18" ht="23.25" hidden="1" customHeight="1" x14ac:dyDescent="0.25">
      <c r="A415" s="199"/>
      <c r="B415" s="199"/>
      <c r="C415" s="231" t="s">
        <v>1045</v>
      </c>
      <c r="D415" s="365" t="s">
        <v>912</v>
      </c>
      <c r="E415" s="200"/>
      <c r="F415" s="200">
        <v>155484</v>
      </c>
      <c r="G415" s="151"/>
      <c r="H415" s="151"/>
      <c r="I415" s="151"/>
      <c r="J415" s="151"/>
      <c r="K415" s="151"/>
      <c r="L415" s="151"/>
      <c r="M415" s="151"/>
      <c r="N415" s="151"/>
      <c r="O415" s="151"/>
      <c r="P415" s="151"/>
      <c r="Q415" s="151">
        <f t="shared" si="30"/>
        <v>0</v>
      </c>
      <c r="R415" s="706"/>
    </row>
    <row r="416" spans="1:18" ht="23.25" hidden="1" customHeight="1" x14ac:dyDescent="0.25">
      <c r="A416" s="199"/>
      <c r="B416" s="199"/>
      <c r="C416" s="231" t="s">
        <v>1046</v>
      </c>
      <c r="D416" s="363" t="s">
        <v>628</v>
      </c>
      <c r="E416" s="200"/>
      <c r="F416" s="200">
        <v>155491</v>
      </c>
      <c r="G416" s="151"/>
      <c r="H416" s="151"/>
      <c r="I416" s="151"/>
      <c r="J416" s="151"/>
      <c r="K416" s="151"/>
      <c r="L416" s="151"/>
      <c r="M416" s="151"/>
      <c r="N416" s="151"/>
      <c r="O416" s="151"/>
      <c r="P416" s="151"/>
      <c r="Q416" s="151">
        <f t="shared" si="30"/>
        <v>0</v>
      </c>
      <c r="R416" s="706"/>
    </row>
    <row r="417" spans="1:18" ht="23.25" hidden="1" customHeight="1" x14ac:dyDescent="0.25">
      <c r="A417" s="199"/>
      <c r="B417" s="199"/>
      <c r="C417" s="231" t="s">
        <v>1047</v>
      </c>
      <c r="D417" s="365" t="s">
        <v>1132</v>
      </c>
      <c r="E417" s="200"/>
      <c r="F417" s="200">
        <v>155403</v>
      </c>
      <c r="G417" s="151"/>
      <c r="H417" s="151"/>
      <c r="I417" s="151"/>
      <c r="J417" s="151"/>
      <c r="K417" s="151"/>
      <c r="L417" s="151"/>
      <c r="M417" s="151"/>
      <c r="N417" s="151"/>
      <c r="O417" s="151"/>
      <c r="P417" s="151"/>
      <c r="Q417" s="151">
        <f t="shared" si="30"/>
        <v>0</v>
      </c>
      <c r="R417" s="706"/>
    </row>
    <row r="418" spans="1:18" ht="23.25" hidden="1" customHeight="1" x14ac:dyDescent="0.25">
      <c r="A418" s="199"/>
      <c r="B418" s="199"/>
      <c r="C418" s="231" t="s">
        <v>1048</v>
      </c>
      <c r="D418" s="365" t="s">
        <v>631</v>
      </c>
      <c r="E418" s="200"/>
      <c r="F418" s="200">
        <v>155412</v>
      </c>
      <c r="G418" s="151"/>
      <c r="H418" s="151"/>
      <c r="I418" s="151"/>
      <c r="J418" s="151"/>
      <c r="K418" s="151"/>
      <c r="L418" s="151"/>
      <c r="M418" s="151"/>
      <c r="N418" s="151"/>
      <c r="O418" s="151"/>
      <c r="P418" s="151"/>
      <c r="Q418" s="151">
        <f t="shared" si="30"/>
        <v>0</v>
      </c>
      <c r="R418" s="706"/>
    </row>
    <row r="419" spans="1:18" ht="23.25" hidden="1" customHeight="1" x14ac:dyDescent="0.25">
      <c r="A419" s="199"/>
      <c r="B419" s="199"/>
      <c r="C419" s="231" t="s">
        <v>1049</v>
      </c>
      <c r="D419" s="381" t="s">
        <v>634</v>
      </c>
      <c r="E419" s="200"/>
      <c r="F419" s="200">
        <v>155430</v>
      </c>
      <c r="G419" s="151"/>
      <c r="H419" s="151"/>
      <c r="I419" s="151"/>
      <c r="J419" s="151"/>
      <c r="K419" s="151"/>
      <c r="L419" s="151"/>
      <c r="M419" s="151"/>
      <c r="N419" s="151"/>
      <c r="O419" s="151"/>
      <c r="P419" s="151"/>
      <c r="Q419" s="151">
        <f t="shared" si="30"/>
        <v>0</v>
      </c>
      <c r="R419" s="706"/>
    </row>
    <row r="420" spans="1:18" ht="23.25" hidden="1" customHeight="1" x14ac:dyDescent="0.25">
      <c r="A420" s="199"/>
      <c r="B420" s="199"/>
      <c r="C420" s="231" t="s">
        <v>1050</v>
      </c>
      <c r="D420" s="478" t="s">
        <v>1051</v>
      </c>
      <c r="E420" s="200"/>
      <c r="F420" s="200">
        <v>152442</v>
      </c>
      <c r="G420" s="151"/>
      <c r="H420" s="151"/>
      <c r="I420" s="151"/>
      <c r="J420" s="151"/>
      <c r="K420" s="151"/>
      <c r="L420" s="151"/>
      <c r="M420" s="151"/>
      <c r="N420" s="151"/>
      <c r="O420" s="151"/>
      <c r="P420" s="151"/>
      <c r="Q420" s="151">
        <f t="shared" si="30"/>
        <v>0</v>
      </c>
      <c r="R420" s="706"/>
    </row>
    <row r="421" spans="1:18" ht="23.25" hidden="1" customHeight="1" x14ac:dyDescent="0.25">
      <c r="A421" s="199"/>
      <c r="B421" s="199"/>
      <c r="C421" s="231" t="s">
        <v>1052</v>
      </c>
      <c r="D421" s="479" t="s">
        <v>1100</v>
      </c>
      <c r="E421" s="200"/>
      <c r="F421" s="200">
        <v>155459</v>
      </c>
      <c r="G421" s="151"/>
      <c r="H421" s="151"/>
      <c r="I421" s="151"/>
      <c r="J421" s="151"/>
      <c r="K421" s="151"/>
      <c r="L421" s="151"/>
      <c r="M421" s="151"/>
      <c r="N421" s="151"/>
      <c r="O421" s="151"/>
      <c r="P421" s="151"/>
      <c r="Q421" s="151">
        <f t="shared" si="30"/>
        <v>0</v>
      </c>
      <c r="R421" s="706"/>
    </row>
    <row r="422" spans="1:18" ht="23.25" customHeight="1" x14ac:dyDescent="0.25">
      <c r="A422" s="199"/>
      <c r="B422" s="199"/>
      <c r="C422" s="231" t="s">
        <v>1053</v>
      </c>
      <c r="D422" s="895" t="s">
        <v>1054</v>
      </c>
      <c r="E422" s="896"/>
      <c r="F422" s="200">
        <v>155460</v>
      </c>
      <c r="G422" s="151"/>
      <c r="H422" s="151"/>
      <c r="I422" s="151"/>
      <c r="J422" s="151"/>
      <c r="K422" s="151"/>
      <c r="L422" s="151"/>
      <c r="M422" s="151">
        <v>1120</v>
      </c>
      <c r="N422" s="151"/>
      <c r="O422" s="151"/>
      <c r="P422" s="151"/>
      <c r="Q422" s="151">
        <f t="shared" si="30"/>
        <v>1120</v>
      </c>
      <c r="R422" s="706" t="s">
        <v>1295</v>
      </c>
    </row>
    <row r="423" spans="1:18" ht="23.25" hidden="1" customHeight="1" x14ac:dyDescent="0.25">
      <c r="A423" s="199"/>
      <c r="B423" s="199"/>
      <c r="C423" s="231" t="s">
        <v>1055</v>
      </c>
      <c r="D423" s="480" t="s">
        <v>1056</v>
      </c>
      <c r="E423" s="200"/>
      <c r="F423" s="200">
        <v>164419</v>
      </c>
      <c r="G423" s="151"/>
      <c r="H423" s="151"/>
      <c r="I423" s="151"/>
      <c r="J423" s="151"/>
      <c r="K423" s="151"/>
      <c r="L423" s="151"/>
      <c r="M423" s="151"/>
      <c r="N423" s="151"/>
      <c r="O423" s="151"/>
      <c r="P423" s="151"/>
      <c r="Q423" s="151">
        <f t="shared" si="30"/>
        <v>0</v>
      </c>
      <c r="R423" s="706"/>
    </row>
    <row r="424" spans="1:18" ht="23.25" hidden="1" customHeight="1" x14ac:dyDescent="0.25">
      <c r="A424" s="199"/>
      <c r="B424" s="199"/>
      <c r="C424" s="231" t="s">
        <v>1057</v>
      </c>
      <c r="D424" s="480" t="s">
        <v>1058</v>
      </c>
      <c r="E424" s="200"/>
      <c r="F424" s="200">
        <v>164411</v>
      </c>
      <c r="G424" s="151"/>
      <c r="H424" s="151"/>
      <c r="I424" s="151"/>
      <c r="J424" s="151"/>
      <c r="K424" s="151"/>
      <c r="L424" s="151"/>
      <c r="M424" s="151"/>
      <c r="N424" s="151"/>
      <c r="O424" s="151"/>
      <c r="P424" s="151"/>
      <c r="Q424" s="151">
        <f t="shared" si="30"/>
        <v>0</v>
      </c>
      <c r="R424" s="706"/>
    </row>
    <row r="425" spans="1:18" ht="32.25" hidden="1" customHeight="1" x14ac:dyDescent="0.25">
      <c r="A425" s="199"/>
      <c r="B425" s="199"/>
      <c r="C425" s="231" t="s">
        <v>1059</v>
      </c>
      <c r="D425" s="480" t="s">
        <v>1060</v>
      </c>
      <c r="E425" s="200"/>
      <c r="F425" s="200">
        <v>164414</v>
      </c>
      <c r="G425" s="151"/>
      <c r="H425" s="151"/>
      <c r="I425" s="151"/>
      <c r="J425" s="151"/>
      <c r="K425" s="151"/>
      <c r="L425" s="151"/>
      <c r="M425" s="151"/>
      <c r="N425" s="151"/>
      <c r="O425" s="151"/>
      <c r="P425" s="151"/>
      <c r="Q425" s="151">
        <f t="shared" si="30"/>
        <v>0</v>
      </c>
      <c r="R425" s="706"/>
    </row>
    <row r="426" spans="1:18" ht="23.25" customHeight="1" x14ac:dyDescent="0.25">
      <c r="A426" s="199"/>
      <c r="B426" s="199"/>
      <c r="C426" s="231" t="s">
        <v>1061</v>
      </c>
      <c r="D426" s="605" t="s">
        <v>1062</v>
      </c>
      <c r="E426" s="200"/>
      <c r="F426" s="200">
        <v>152419</v>
      </c>
      <c r="G426" s="151"/>
      <c r="H426" s="151"/>
      <c r="I426" s="151"/>
      <c r="J426" s="151"/>
      <c r="K426" s="151"/>
      <c r="L426" s="151">
        <v>827</v>
      </c>
      <c r="M426" s="151"/>
      <c r="N426" s="151"/>
      <c r="O426" s="151"/>
      <c r="P426" s="151"/>
      <c r="Q426" s="151">
        <f t="shared" si="30"/>
        <v>827</v>
      </c>
      <c r="R426" s="706" t="s">
        <v>1295</v>
      </c>
    </row>
    <row r="427" spans="1:18" ht="23.25" customHeight="1" x14ac:dyDescent="0.25">
      <c r="A427" s="199"/>
      <c r="B427" s="199"/>
      <c r="C427" s="231" t="s">
        <v>1063</v>
      </c>
      <c r="D427" s="605" t="s">
        <v>1064</v>
      </c>
      <c r="E427" s="200"/>
      <c r="F427" s="200">
        <v>154459</v>
      </c>
      <c r="G427" s="151"/>
      <c r="H427" s="151"/>
      <c r="I427" s="151"/>
      <c r="J427" s="151"/>
      <c r="K427" s="151"/>
      <c r="L427" s="151">
        <v>-6049</v>
      </c>
      <c r="M427" s="151">
        <v>6049</v>
      </c>
      <c r="N427" s="151"/>
      <c r="O427" s="151"/>
      <c r="P427" s="151"/>
      <c r="Q427" s="151">
        <f t="shared" si="30"/>
        <v>0</v>
      </c>
      <c r="R427" s="706" t="s">
        <v>1294</v>
      </c>
    </row>
    <row r="428" spans="1:18" ht="23.25" customHeight="1" x14ac:dyDescent="0.25">
      <c r="A428" s="199"/>
      <c r="B428" s="199"/>
      <c r="C428" s="231" t="s">
        <v>1065</v>
      </c>
      <c r="D428" s="605" t="s">
        <v>1066</v>
      </c>
      <c r="E428" s="200"/>
      <c r="F428" s="200">
        <v>152437</v>
      </c>
      <c r="G428" s="151"/>
      <c r="H428" s="151"/>
      <c r="I428" s="151"/>
      <c r="J428" s="151"/>
      <c r="K428" s="151"/>
      <c r="L428" s="151">
        <v>3448</v>
      </c>
      <c r="M428" s="151"/>
      <c r="N428" s="151"/>
      <c r="O428" s="151"/>
      <c r="P428" s="151"/>
      <c r="Q428" s="151">
        <f t="shared" si="30"/>
        <v>3448</v>
      </c>
      <c r="R428" s="706" t="s">
        <v>1295</v>
      </c>
    </row>
    <row r="429" spans="1:18" ht="23.25" hidden="1" customHeight="1" x14ac:dyDescent="0.25">
      <c r="A429" s="199"/>
      <c r="B429" s="199"/>
      <c r="C429" s="606" t="s">
        <v>1067</v>
      </c>
      <c r="D429" s="365" t="s">
        <v>1068</v>
      </c>
      <c r="E429" s="200"/>
      <c r="F429" s="200">
        <v>155469</v>
      </c>
      <c r="G429" s="151"/>
      <c r="H429" s="151"/>
      <c r="I429" s="151"/>
      <c r="J429" s="151"/>
      <c r="K429" s="151"/>
      <c r="L429" s="151"/>
      <c r="M429" s="151"/>
      <c r="N429" s="151"/>
      <c r="O429" s="151"/>
      <c r="P429" s="151"/>
      <c r="Q429" s="151">
        <f t="shared" si="30"/>
        <v>0</v>
      </c>
      <c r="R429" s="706"/>
    </row>
    <row r="430" spans="1:18" ht="23.25" hidden="1" customHeight="1" x14ac:dyDescent="0.25">
      <c r="A430" s="576"/>
      <c r="B430" s="576"/>
      <c r="C430" s="606" t="s">
        <v>1204</v>
      </c>
      <c r="D430" s="573" t="s">
        <v>1129</v>
      </c>
      <c r="E430" s="574"/>
      <c r="F430" s="574">
        <v>152430</v>
      </c>
      <c r="G430" s="510"/>
      <c r="H430" s="510"/>
      <c r="I430" s="510"/>
      <c r="J430" s="510"/>
      <c r="K430" s="510"/>
      <c r="L430" s="510"/>
      <c r="M430" s="510"/>
      <c r="N430" s="510"/>
      <c r="O430" s="510"/>
      <c r="P430" s="510"/>
      <c r="Q430" s="151">
        <f t="shared" si="30"/>
        <v>0</v>
      </c>
      <c r="R430" s="706"/>
    </row>
    <row r="431" spans="1:18" ht="23.25" hidden="1" customHeight="1" x14ac:dyDescent="0.25">
      <c r="A431" s="576"/>
      <c r="B431" s="576"/>
      <c r="C431" s="606" t="s">
        <v>1205</v>
      </c>
      <c r="D431" s="573" t="s">
        <v>1131</v>
      </c>
      <c r="E431" s="574"/>
      <c r="F431" s="574">
        <v>155433</v>
      </c>
      <c r="G431" s="510"/>
      <c r="H431" s="510"/>
      <c r="I431" s="510"/>
      <c r="J431" s="510"/>
      <c r="K431" s="510"/>
      <c r="L431" s="510"/>
      <c r="M431" s="510"/>
      <c r="N431" s="510"/>
      <c r="O431" s="510"/>
      <c r="P431" s="510"/>
      <c r="Q431" s="151">
        <f t="shared" si="30"/>
        <v>0</v>
      </c>
      <c r="R431" s="706"/>
    </row>
    <row r="432" spans="1:18" ht="23.25" hidden="1" customHeight="1" x14ac:dyDescent="0.25">
      <c r="A432" s="576"/>
      <c r="B432" s="576"/>
      <c r="C432" s="606" t="s">
        <v>1206</v>
      </c>
      <c r="D432" s="575" t="s">
        <v>1133</v>
      </c>
      <c r="E432" s="574"/>
      <c r="F432" s="574">
        <v>154446</v>
      </c>
      <c r="G432" s="510"/>
      <c r="H432" s="510"/>
      <c r="I432" s="510"/>
      <c r="J432" s="510"/>
      <c r="K432" s="510"/>
      <c r="L432" s="510"/>
      <c r="M432" s="510"/>
      <c r="N432" s="510"/>
      <c r="O432" s="510"/>
      <c r="P432" s="510"/>
      <c r="Q432" s="151">
        <f t="shared" si="30"/>
        <v>0</v>
      </c>
      <c r="R432" s="706"/>
    </row>
    <row r="433" spans="1:18" ht="15.75" customHeight="1" x14ac:dyDescent="0.25">
      <c r="A433" s="199"/>
      <c r="B433" s="199"/>
      <c r="C433" s="395" t="s">
        <v>82</v>
      </c>
      <c r="D433" s="396" t="s">
        <v>646</v>
      </c>
      <c r="E433" s="201"/>
      <c r="F433" s="202"/>
      <c r="G433" s="151"/>
      <c r="H433" s="151"/>
      <c r="I433" s="151"/>
      <c r="J433" s="151"/>
      <c r="K433" s="151"/>
      <c r="L433" s="151"/>
      <c r="M433" s="151"/>
      <c r="N433" s="151"/>
      <c r="O433" s="151"/>
      <c r="P433" s="151"/>
      <c r="Q433" s="151"/>
      <c r="R433" s="706"/>
    </row>
    <row r="434" spans="1:18" ht="18" hidden="1" customHeight="1" x14ac:dyDescent="0.25">
      <c r="A434" s="199"/>
      <c r="B434" s="199"/>
      <c r="C434" s="188" t="s">
        <v>647</v>
      </c>
      <c r="D434" s="603" t="s">
        <v>1134</v>
      </c>
      <c r="E434" s="200"/>
      <c r="F434" s="268">
        <v>154502</v>
      </c>
      <c r="G434" s="151"/>
      <c r="H434" s="151"/>
      <c r="I434" s="151"/>
      <c r="J434" s="151"/>
      <c r="K434" s="151"/>
      <c r="L434" s="151"/>
      <c r="M434" s="151"/>
      <c r="N434" s="151"/>
      <c r="O434" s="151"/>
      <c r="P434" s="151"/>
      <c r="Q434" s="151">
        <f t="shared" ref="Q434:Q443" si="32">SUM(G434:P434)</f>
        <v>0</v>
      </c>
      <c r="R434" s="706"/>
    </row>
    <row r="435" spans="1:18" ht="18" hidden="1" customHeight="1" x14ac:dyDescent="0.25">
      <c r="A435" s="199"/>
      <c r="B435" s="199"/>
      <c r="C435" s="188" t="s">
        <v>648</v>
      </c>
      <c r="D435" s="603" t="s">
        <v>1135</v>
      </c>
      <c r="F435" s="268">
        <v>152510</v>
      </c>
      <c r="G435" s="151"/>
      <c r="H435" s="151"/>
      <c r="I435" s="151"/>
      <c r="J435" s="151"/>
      <c r="K435" s="151"/>
      <c r="L435" s="151"/>
      <c r="M435" s="151"/>
      <c r="N435" s="151"/>
      <c r="O435" s="151"/>
      <c r="P435" s="151"/>
      <c r="Q435" s="151">
        <f t="shared" si="32"/>
        <v>0</v>
      </c>
      <c r="R435" s="706"/>
    </row>
    <row r="436" spans="1:18" ht="18" hidden="1" customHeight="1" x14ac:dyDescent="0.25">
      <c r="A436" s="199"/>
      <c r="B436" s="199"/>
      <c r="C436" s="188" t="s">
        <v>649</v>
      </c>
      <c r="D436" s="603" t="s">
        <v>1136</v>
      </c>
      <c r="E436" s="201"/>
      <c r="F436" s="268">
        <v>152511</v>
      </c>
      <c r="G436" s="151"/>
      <c r="H436" s="151"/>
      <c r="I436" s="151"/>
      <c r="J436" s="151"/>
      <c r="K436" s="151"/>
      <c r="L436" s="151"/>
      <c r="M436" s="151"/>
      <c r="N436" s="151"/>
      <c r="O436" s="151"/>
      <c r="P436" s="151"/>
      <c r="Q436" s="151">
        <f t="shared" si="32"/>
        <v>0</v>
      </c>
      <c r="R436" s="706"/>
    </row>
    <row r="437" spans="1:18" ht="18" hidden="1" customHeight="1" x14ac:dyDescent="0.25">
      <c r="A437" s="199"/>
      <c r="B437" s="199"/>
      <c r="C437" s="188" t="s">
        <v>650</v>
      </c>
      <c r="D437" s="575" t="s">
        <v>1137</v>
      </c>
      <c r="E437" s="574"/>
      <c r="F437" s="585">
        <v>152574</v>
      </c>
      <c r="G437" s="151"/>
      <c r="H437" s="151"/>
      <c r="I437" s="151"/>
      <c r="J437" s="151"/>
      <c r="K437" s="151"/>
      <c r="L437" s="151"/>
      <c r="M437" s="151"/>
      <c r="N437" s="151"/>
      <c r="O437" s="151"/>
      <c r="P437" s="151"/>
      <c r="Q437" s="151">
        <f t="shared" si="32"/>
        <v>0</v>
      </c>
      <c r="R437" s="706"/>
    </row>
    <row r="438" spans="1:18" ht="18" hidden="1" customHeight="1" x14ac:dyDescent="0.25">
      <c r="A438" s="199"/>
      <c r="B438" s="199"/>
      <c r="C438" s="188" t="s">
        <v>651</v>
      </c>
      <c r="D438" s="573" t="s">
        <v>1138</v>
      </c>
      <c r="E438" s="399"/>
      <c r="F438" s="268">
        <v>154507</v>
      </c>
      <c r="G438" s="151"/>
      <c r="H438" s="151"/>
      <c r="I438" s="151"/>
      <c r="J438" s="151"/>
      <c r="K438" s="151"/>
      <c r="L438" s="151"/>
      <c r="M438" s="151"/>
      <c r="N438" s="151"/>
      <c r="O438" s="151"/>
      <c r="P438" s="151"/>
      <c r="Q438" s="151">
        <f t="shared" si="32"/>
        <v>0</v>
      </c>
      <c r="R438" s="706"/>
    </row>
    <row r="439" spans="1:18" ht="18" customHeight="1" x14ac:dyDescent="0.25">
      <c r="A439" s="199"/>
      <c r="B439" s="199"/>
      <c r="C439" s="188" t="s">
        <v>652</v>
      </c>
      <c r="D439" s="575" t="s">
        <v>1140</v>
      </c>
      <c r="E439" s="574"/>
      <c r="F439" s="585">
        <v>154544</v>
      </c>
      <c r="G439" s="151"/>
      <c r="H439" s="151"/>
      <c r="I439" s="151">
        <v>1000</v>
      </c>
      <c r="J439" s="151"/>
      <c r="K439" s="151"/>
      <c r="L439" s="151"/>
      <c r="M439" s="151">
        <v>-1000</v>
      </c>
      <c r="N439" s="151"/>
      <c r="O439" s="151"/>
      <c r="P439" s="151"/>
      <c r="Q439" s="151">
        <f t="shared" si="32"/>
        <v>0</v>
      </c>
      <c r="R439" s="706" t="s">
        <v>1295</v>
      </c>
    </row>
    <row r="440" spans="1:18" ht="18" hidden="1" customHeight="1" x14ac:dyDescent="0.25">
      <c r="A440" s="199"/>
      <c r="B440" s="199"/>
      <c r="C440" s="188" t="s">
        <v>653</v>
      </c>
      <c r="D440" s="575" t="s">
        <v>1141</v>
      </c>
      <c r="E440" s="577"/>
      <c r="F440" s="644">
        <v>154545</v>
      </c>
      <c r="G440" s="151"/>
      <c r="H440" s="151"/>
      <c r="I440" s="151"/>
      <c r="J440" s="151"/>
      <c r="K440" s="151"/>
      <c r="L440" s="151"/>
      <c r="M440" s="151"/>
      <c r="N440" s="151"/>
      <c r="O440" s="151"/>
      <c r="P440" s="151"/>
      <c r="Q440" s="151">
        <f t="shared" si="32"/>
        <v>0</v>
      </c>
      <c r="R440" s="706"/>
    </row>
    <row r="441" spans="1:18" ht="18" hidden="1" customHeight="1" x14ac:dyDescent="0.25">
      <c r="A441" s="641"/>
      <c r="B441" s="641"/>
      <c r="C441" s="188" t="s">
        <v>1243</v>
      </c>
      <c r="D441" s="643" t="s">
        <v>1245</v>
      </c>
      <c r="E441" s="647"/>
      <c r="F441" s="644">
        <v>152512</v>
      </c>
      <c r="G441" s="638"/>
      <c r="H441" s="638"/>
      <c r="I441" s="638"/>
      <c r="J441" s="638"/>
      <c r="K441" s="638"/>
      <c r="L441" s="638"/>
      <c r="M441" s="638"/>
      <c r="N441" s="638"/>
      <c r="O441" s="638"/>
      <c r="P441" s="638"/>
      <c r="Q441" s="638">
        <f t="shared" si="32"/>
        <v>0</v>
      </c>
      <c r="R441" s="706"/>
    </row>
    <row r="442" spans="1:18" ht="18" hidden="1" customHeight="1" x14ac:dyDescent="0.25">
      <c r="A442" s="641"/>
      <c r="B442" s="641"/>
      <c r="C442" s="188" t="s">
        <v>1244</v>
      </c>
      <c r="D442" s="643" t="s">
        <v>1246</v>
      </c>
      <c r="E442" s="640"/>
      <c r="F442" s="644">
        <v>154514</v>
      </c>
      <c r="G442" s="638"/>
      <c r="H442" s="638"/>
      <c r="I442" s="638"/>
      <c r="J442" s="638"/>
      <c r="K442" s="638"/>
      <c r="L442" s="638"/>
      <c r="M442" s="638"/>
      <c r="N442" s="638"/>
      <c r="O442" s="638"/>
      <c r="P442" s="638"/>
      <c r="Q442" s="638">
        <f t="shared" si="32"/>
        <v>0</v>
      </c>
      <c r="R442" s="706"/>
    </row>
    <row r="443" spans="1:18" ht="25.5" hidden="1" customHeight="1" x14ac:dyDescent="0.25">
      <c r="A443" s="641"/>
      <c r="B443" s="641"/>
      <c r="C443" s="188" t="s">
        <v>1247</v>
      </c>
      <c r="D443" s="643" t="s">
        <v>1248</v>
      </c>
      <c r="E443" s="640"/>
      <c r="F443" s="644">
        <v>154517</v>
      </c>
      <c r="G443" s="638"/>
      <c r="H443" s="638"/>
      <c r="I443" s="638"/>
      <c r="J443" s="638"/>
      <c r="K443" s="638"/>
      <c r="L443" s="638"/>
      <c r="M443" s="638"/>
      <c r="N443" s="638"/>
      <c r="O443" s="638"/>
      <c r="P443" s="638"/>
      <c r="Q443" s="638">
        <f t="shared" si="32"/>
        <v>0</v>
      </c>
      <c r="R443" s="706"/>
    </row>
    <row r="444" spans="1:18" ht="18" hidden="1" customHeight="1" x14ac:dyDescent="0.25">
      <c r="A444" s="199"/>
      <c r="B444" s="199"/>
      <c r="C444" s="199"/>
      <c r="D444" s="186" t="s">
        <v>1026</v>
      </c>
      <c r="E444" s="201"/>
      <c r="F444" s="202"/>
      <c r="G444" s="151"/>
      <c r="H444" s="151"/>
      <c r="I444" s="151"/>
      <c r="J444" s="151"/>
      <c r="K444" s="151"/>
      <c r="L444" s="151"/>
      <c r="M444" s="151"/>
      <c r="N444" s="151"/>
      <c r="O444" s="151"/>
      <c r="P444" s="151"/>
      <c r="Q444" s="151"/>
      <c r="R444" s="706"/>
    </row>
    <row r="445" spans="1:18" ht="18" hidden="1" customHeight="1" x14ac:dyDescent="0.25">
      <c r="A445" s="199"/>
      <c r="B445" s="199"/>
      <c r="C445" s="233" t="s">
        <v>655</v>
      </c>
      <c r="D445" s="277" t="s">
        <v>657</v>
      </c>
      <c r="E445" s="279"/>
      <c r="F445" s="151">
        <v>152562</v>
      </c>
      <c r="G445" s="151"/>
      <c r="H445" s="151"/>
      <c r="I445" s="151"/>
      <c r="J445" s="151"/>
      <c r="K445" s="151"/>
      <c r="L445" s="151"/>
      <c r="M445" s="151"/>
      <c r="N445" s="151"/>
      <c r="O445" s="151"/>
      <c r="P445" s="151"/>
      <c r="Q445" s="151">
        <f>SUM(G445:P445)</f>
        <v>0</v>
      </c>
      <c r="R445" s="706"/>
    </row>
    <row r="446" spans="1:18" ht="18" hidden="1" customHeight="1" x14ac:dyDescent="0.25">
      <c r="A446" s="199"/>
      <c r="B446" s="199"/>
      <c r="C446" s="233" t="s">
        <v>656</v>
      </c>
      <c r="D446" s="381" t="s">
        <v>654</v>
      </c>
      <c r="E446" s="200"/>
      <c r="F446" s="151">
        <v>152571</v>
      </c>
      <c r="G446" s="151"/>
      <c r="H446" s="151"/>
      <c r="I446" s="151"/>
      <c r="J446" s="151"/>
      <c r="K446" s="151"/>
      <c r="L446" s="151"/>
      <c r="M446" s="151"/>
      <c r="N446" s="151"/>
      <c r="O446" s="151"/>
      <c r="P446" s="151"/>
      <c r="Q446" s="151">
        <f>SUM(G446:P446)</f>
        <v>0</v>
      </c>
      <c r="R446" s="706"/>
    </row>
    <row r="447" spans="1:18" ht="18" hidden="1" customHeight="1" x14ac:dyDescent="0.25">
      <c r="A447" s="199"/>
      <c r="B447" s="199"/>
      <c r="C447" s="233" t="s">
        <v>1107</v>
      </c>
      <c r="D447" s="397" t="s">
        <v>1232</v>
      </c>
      <c r="E447" s="200"/>
      <c r="F447" s="200">
        <v>152582</v>
      </c>
      <c r="G447" s="151"/>
      <c r="H447" s="151"/>
      <c r="I447" s="151"/>
      <c r="J447" s="151"/>
      <c r="K447" s="151"/>
      <c r="L447" s="151"/>
      <c r="M447" s="151"/>
      <c r="N447" s="151"/>
      <c r="O447" s="151"/>
      <c r="P447" s="151"/>
      <c r="Q447" s="151">
        <f>SUM(G447:P447)</f>
        <v>0</v>
      </c>
      <c r="R447" s="706"/>
    </row>
    <row r="448" spans="1:18" ht="18" hidden="1" customHeight="1" x14ac:dyDescent="0.25">
      <c r="A448" s="199"/>
      <c r="B448" s="199"/>
      <c r="C448" s="400" t="s">
        <v>83</v>
      </c>
      <c r="D448" s="389" t="s">
        <v>658</v>
      </c>
      <c r="E448" s="201"/>
      <c r="F448" s="202"/>
      <c r="G448" s="151"/>
      <c r="H448" s="151"/>
      <c r="I448" s="151"/>
      <c r="J448" s="151"/>
      <c r="K448" s="151"/>
      <c r="L448" s="151"/>
      <c r="M448" s="151"/>
      <c r="N448" s="151"/>
      <c r="O448" s="151"/>
      <c r="P448" s="151"/>
      <c r="Q448" s="151"/>
      <c r="R448" s="706"/>
    </row>
    <row r="449" spans="1:18" ht="18" hidden="1" customHeight="1" x14ac:dyDescent="0.25">
      <c r="A449" s="199"/>
      <c r="B449" s="199"/>
      <c r="C449" s="393" t="s">
        <v>84</v>
      </c>
      <c r="D449" s="401" t="s">
        <v>659</v>
      </c>
      <c r="E449" s="201"/>
      <c r="F449" s="202"/>
      <c r="G449" s="151"/>
      <c r="H449" s="151"/>
      <c r="I449" s="151"/>
      <c r="J449" s="151"/>
      <c r="K449" s="151"/>
      <c r="L449" s="151"/>
      <c r="M449" s="151"/>
      <c r="N449" s="151"/>
      <c r="O449" s="151"/>
      <c r="P449" s="151"/>
      <c r="Q449" s="151"/>
      <c r="R449" s="706"/>
    </row>
    <row r="450" spans="1:18" ht="18" hidden="1" customHeight="1" x14ac:dyDescent="0.25">
      <c r="A450" s="199"/>
      <c r="B450" s="199"/>
      <c r="C450" s="231" t="s">
        <v>922</v>
      </c>
      <c r="D450" s="402" t="s">
        <v>660</v>
      </c>
      <c r="E450" s="201"/>
      <c r="F450" s="151">
        <v>152801</v>
      </c>
      <c r="G450" s="151"/>
      <c r="H450" s="151"/>
      <c r="I450" s="151"/>
      <c r="J450" s="151"/>
      <c r="K450" s="151"/>
      <c r="L450" s="151"/>
      <c r="M450" s="151"/>
      <c r="N450" s="151"/>
      <c r="O450" s="151"/>
      <c r="P450" s="151"/>
      <c r="Q450" s="151">
        <f>SUM(G450:P450)</f>
        <v>0</v>
      </c>
      <c r="R450" s="706"/>
    </row>
    <row r="451" spans="1:18" ht="18" customHeight="1" x14ac:dyDescent="0.25">
      <c r="A451" s="199"/>
      <c r="B451" s="199"/>
      <c r="C451" s="403" t="s">
        <v>85</v>
      </c>
      <c r="D451" s="371" t="s">
        <v>661</v>
      </c>
      <c r="E451" s="200"/>
      <c r="F451" s="151"/>
      <c r="G451" s="151"/>
      <c r="H451" s="151"/>
      <c r="I451" s="151"/>
      <c r="J451" s="151"/>
      <c r="K451" s="151"/>
      <c r="L451" s="151"/>
      <c r="M451" s="151"/>
      <c r="N451" s="151"/>
      <c r="O451" s="151"/>
      <c r="P451" s="151"/>
      <c r="Q451" s="151"/>
      <c r="R451" s="706"/>
    </row>
    <row r="452" spans="1:18" ht="18" customHeight="1" x14ac:dyDescent="0.25">
      <c r="A452" s="199"/>
      <c r="B452" s="199"/>
      <c r="C452" s="234" t="s">
        <v>662</v>
      </c>
      <c r="D452" s="579" t="s">
        <v>1142</v>
      </c>
      <c r="F452" s="151">
        <v>152910</v>
      </c>
      <c r="G452" s="151"/>
      <c r="H452" s="151"/>
      <c r="I452" s="151"/>
      <c r="J452" s="151"/>
      <c r="K452" s="151"/>
      <c r="L452" s="151">
        <v>85</v>
      </c>
      <c r="M452" s="151"/>
      <c r="N452" s="151"/>
      <c r="O452" s="151"/>
      <c r="P452" s="151"/>
      <c r="Q452" s="151">
        <f>SUM(G452:P452)</f>
        <v>85</v>
      </c>
      <c r="R452" s="706" t="s">
        <v>1295</v>
      </c>
    </row>
    <row r="453" spans="1:18" ht="18" hidden="1" customHeight="1" x14ac:dyDescent="0.25">
      <c r="A453" s="641"/>
      <c r="B453" s="641"/>
      <c r="C453" s="234" t="s">
        <v>663</v>
      </c>
      <c r="D453" s="705" t="s">
        <v>1259</v>
      </c>
      <c r="F453" s="638">
        <v>154907</v>
      </c>
      <c r="G453" s="638"/>
      <c r="H453" s="638"/>
      <c r="I453" s="638"/>
      <c r="J453" s="638"/>
      <c r="K453" s="638"/>
      <c r="L453" s="638"/>
      <c r="M453" s="638"/>
      <c r="N453" s="638"/>
      <c r="O453" s="638"/>
      <c r="P453" s="638"/>
      <c r="Q453" s="151">
        <f>SUM(G453:P453)</f>
        <v>0</v>
      </c>
      <c r="R453" s="706"/>
    </row>
    <row r="454" spans="1:18" ht="18" hidden="1" customHeight="1" x14ac:dyDescent="0.25">
      <c r="A454" s="199"/>
      <c r="B454" s="199"/>
      <c r="C454" s="217"/>
      <c r="D454" s="186" t="s">
        <v>1026</v>
      </c>
      <c r="E454" s="200"/>
      <c r="F454" s="151"/>
      <c r="G454" s="151"/>
      <c r="H454" s="151"/>
      <c r="I454" s="151"/>
      <c r="J454" s="151"/>
      <c r="K454" s="151"/>
      <c r="L454" s="151"/>
      <c r="M454" s="151"/>
      <c r="N454" s="151"/>
      <c r="O454" s="151"/>
      <c r="P454" s="151"/>
      <c r="Q454" s="151"/>
      <c r="R454" s="706"/>
    </row>
    <row r="455" spans="1:18" ht="25.5" hidden="1" customHeight="1" x14ac:dyDescent="0.25">
      <c r="A455" s="199"/>
      <c r="B455" s="199"/>
      <c r="C455" s="188" t="s">
        <v>665</v>
      </c>
      <c r="D455" s="404" t="s">
        <v>923</v>
      </c>
      <c r="E455" s="200"/>
      <c r="F455" s="151">
        <v>152937</v>
      </c>
      <c r="G455" s="151"/>
      <c r="H455" s="151"/>
      <c r="I455" s="151"/>
      <c r="J455" s="151"/>
      <c r="K455" s="151"/>
      <c r="L455" s="151"/>
      <c r="M455" s="151"/>
      <c r="N455" s="151"/>
      <c r="O455" s="151"/>
      <c r="P455" s="151"/>
      <c r="Q455" s="151">
        <f t="shared" ref="Q455:Q458" si="33">SUM(G455:P455)</f>
        <v>0</v>
      </c>
      <c r="R455" s="706"/>
    </row>
    <row r="456" spans="1:18" ht="17.100000000000001" customHeight="1" x14ac:dyDescent="0.25">
      <c r="A456" s="199"/>
      <c r="B456" s="199"/>
      <c r="C456" s="188" t="s">
        <v>666</v>
      </c>
      <c r="D456" s="277" t="s">
        <v>668</v>
      </c>
      <c r="E456" s="200"/>
      <c r="F456" s="151">
        <v>152942</v>
      </c>
      <c r="G456" s="151"/>
      <c r="H456" s="151"/>
      <c r="I456" s="151"/>
      <c r="J456" s="151">
        <v>-4984</v>
      </c>
      <c r="K456" s="151"/>
      <c r="L456" s="151">
        <v>4984</v>
      </c>
      <c r="M456" s="151"/>
      <c r="N456" s="151"/>
      <c r="O456" s="151"/>
      <c r="P456" s="151"/>
      <c r="Q456" s="151">
        <f t="shared" si="33"/>
        <v>0</v>
      </c>
      <c r="R456" s="706" t="s">
        <v>1294</v>
      </c>
    </row>
    <row r="457" spans="1:18" ht="17.100000000000001" hidden="1" customHeight="1" x14ac:dyDescent="0.25">
      <c r="A457" s="199"/>
      <c r="B457" s="199"/>
      <c r="C457" s="188" t="s">
        <v>667</v>
      </c>
      <c r="D457" s="363" t="s">
        <v>664</v>
      </c>
      <c r="E457" s="200"/>
      <c r="F457" s="151">
        <v>152947</v>
      </c>
      <c r="G457" s="151"/>
      <c r="H457" s="151"/>
      <c r="I457" s="151"/>
      <c r="J457" s="151"/>
      <c r="K457" s="151"/>
      <c r="L457" s="151"/>
      <c r="M457" s="151"/>
      <c r="N457" s="151"/>
      <c r="O457" s="151"/>
      <c r="P457" s="151"/>
      <c r="Q457" s="151">
        <f t="shared" si="33"/>
        <v>0</v>
      </c>
      <c r="R457" s="706"/>
    </row>
    <row r="458" spans="1:18" ht="17.100000000000001" hidden="1" customHeight="1" x14ac:dyDescent="0.25">
      <c r="A458" s="199"/>
      <c r="B458" s="199"/>
      <c r="C458" s="188" t="s">
        <v>669</v>
      </c>
      <c r="D458" s="669" t="s">
        <v>1069</v>
      </c>
      <c r="E458" s="200"/>
      <c r="F458" s="200">
        <v>152950</v>
      </c>
      <c r="G458" s="151"/>
      <c r="H458" s="151"/>
      <c r="I458" s="151"/>
      <c r="J458" s="151"/>
      <c r="K458" s="151"/>
      <c r="L458" s="151"/>
      <c r="M458" s="151"/>
      <c r="N458" s="151"/>
      <c r="O458" s="151"/>
      <c r="P458" s="151"/>
      <c r="Q458" s="151">
        <f t="shared" si="33"/>
        <v>0</v>
      </c>
      <c r="R458" s="706"/>
    </row>
    <row r="459" spans="1:18" ht="20.25" customHeight="1" x14ac:dyDescent="0.25">
      <c r="A459" s="194"/>
      <c r="B459" s="194"/>
      <c r="C459" s="195"/>
      <c r="D459" s="846" t="s">
        <v>673</v>
      </c>
      <c r="E459" s="847"/>
      <c r="F459" s="198"/>
      <c r="G459" s="198">
        <f t="shared" ref="G459:Q459" si="34">SUM(G343:G458)</f>
        <v>0</v>
      </c>
      <c r="H459" s="198">
        <f t="shared" si="34"/>
        <v>0</v>
      </c>
      <c r="I459" s="198">
        <f t="shared" si="34"/>
        <v>-25826</v>
      </c>
      <c r="J459" s="198">
        <f t="shared" si="34"/>
        <v>-4984</v>
      </c>
      <c r="K459" s="198">
        <f t="shared" si="34"/>
        <v>29465</v>
      </c>
      <c r="L459" s="198">
        <f t="shared" si="34"/>
        <v>2312</v>
      </c>
      <c r="M459" s="198">
        <f t="shared" si="34"/>
        <v>2400</v>
      </c>
      <c r="N459" s="198">
        <f t="shared" si="34"/>
        <v>0</v>
      </c>
      <c r="O459" s="198">
        <f t="shared" si="34"/>
        <v>0</v>
      </c>
      <c r="P459" s="198">
        <f t="shared" si="34"/>
        <v>0</v>
      </c>
      <c r="Q459" s="198">
        <f t="shared" si="34"/>
        <v>3367</v>
      </c>
      <c r="R459" s="707"/>
    </row>
    <row r="460" spans="1:18" ht="15" customHeight="1" x14ac:dyDescent="0.25">
      <c r="A460" s="172">
        <v>1</v>
      </c>
      <c r="B460" s="172">
        <v>16</v>
      </c>
      <c r="C460" s="188"/>
      <c r="D460" s="221" t="s">
        <v>674</v>
      </c>
      <c r="E460" s="200"/>
      <c r="F460" s="151"/>
      <c r="G460" s="151"/>
      <c r="H460" s="177"/>
      <c r="I460" s="177"/>
      <c r="J460" s="177"/>
      <c r="K460" s="177"/>
      <c r="L460" s="177"/>
      <c r="M460" s="151"/>
      <c r="N460" s="151"/>
      <c r="O460" s="151"/>
      <c r="P460" s="151"/>
      <c r="Q460" s="151"/>
      <c r="R460" s="706"/>
    </row>
    <row r="461" spans="1:18" ht="15" customHeight="1" x14ac:dyDescent="0.25">
      <c r="A461" s="172"/>
      <c r="B461" s="172"/>
      <c r="C461" s="188"/>
      <c r="D461" s="189" t="s">
        <v>225</v>
      </c>
      <c r="E461" s="200"/>
      <c r="F461" s="151"/>
      <c r="G461" s="151"/>
      <c r="H461" s="177"/>
      <c r="I461" s="177"/>
      <c r="J461" s="177"/>
      <c r="K461" s="177"/>
      <c r="L461" s="177"/>
      <c r="M461" s="151"/>
      <c r="N461" s="151"/>
      <c r="O461" s="151"/>
      <c r="P461" s="151"/>
      <c r="Q461" s="151"/>
      <c r="R461" s="706"/>
    </row>
    <row r="462" spans="1:18" ht="15" hidden="1" customHeight="1" x14ac:dyDescent="0.25">
      <c r="A462" s="172"/>
      <c r="B462" s="172"/>
      <c r="C462" s="188"/>
      <c r="D462" s="186" t="s">
        <v>675</v>
      </c>
      <c r="E462" s="151">
        <v>2</v>
      </c>
      <c r="F462" s="151">
        <v>161910</v>
      </c>
      <c r="G462" s="151"/>
      <c r="H462" s="151"/>
      <c r="I462" s="151"/>
      <c r="J462" s="151"/>
      <c r="K462" s="151"/>
      <c r="L462" s="151"/>
      <c r="M462" s="151"/>
      <c r="N462" s="151"/>
      <c r="O462" s="151"/>
      <c r="P462" s="151"/>
      <c r="Q462" s="151">
        <f t="shared" ref="Q462:Q465" si="35">SUM(G462:P462)</f>
        <v>0</v>
      </c>
      <c r="R462" s="706"/>
    </row>
    <row r="463" spans="1:18" ht="15" customHeight="1" x14ac:dyDescent="0.25">
      <c r="A463" s="172"/>
      <c r="B463" s="172"/>
      <c r="C463" s="188"/>
      <c r="D463" s="186" t="s">
        <v>676</v>
      </c>
      <c r="E463" s="151">
        <v>1</v>
      </c>
      <c r="F463" s="151">
        <v>161908</v>
      </c>
      <c r="G463" s="151"/>
      <c r="H463" s="151"/>
      <c r="I463" s="151">
        <v>4322</v>
      </c>
      <c r="J463" s="151"/>
      <c r="K463" s="151"/>
      <c r="L463" s="151"/>
      <c r="M463" s="151"/>
      <c r="N463" s="151"/>
      <c r="O463" s="151"/>
      <c r="P463" s="151"/>
      <c r="Q463" s="151">
        <f t="shared" si="35"/>
        <v>4322</v>
      </c>
      <c r="R463" s="706" t="s">
        <v>1295</v>
      </c>
    </row>
    <row r="464" spans="1:18" ht="29.25" hidden="1" customHeight="1" x14ac:dyDescent="0.25">
      <c r="A464" s="172"/>
      <c r="B464" s="172"/>
      <c r="C464" s="188"/>
      <c r="D464" s="193" t="s">
        <v>677</v>
      </c>
      <c r="E464" s="151">
        <v>2</v>
      </c>
      <c r="F464" s="151">
        <v>161911</v>
      </c>
      <c r="G464" s="151"/>
      <c r="H464" s="151"/>
      <c r="I464" s="151"/>
      <c r="J464" s="151"/>
      <c r="K464" s="151"/>
      <c r="L464" s="151"/>
      <c r="M464" s="151"/>
      <c r="N464" s="151"/>
      <c r="O464" s="151"/>
      <c r="P464" s="151"/>
      <c r="Q464" s="151">
        <f t="shared" si="35"/>
        <v>0</v>
      </c>
      <c r="R464" s="706"/>
    </row>
    <row r="465" spans="1:18" ht="24" hidden="1" customHeight="1" x14ac:dyDescent="0.25">
      <c r="A465" s="172"/>
      <c r="B465" s="172"/>
      <c r="C465" s="188"/>
      <c r="D465" s="205" t="s">
        <v>678</v>
      </c>
      <c r="E465" s="151">
        <v>2</v>
      </c>
      <c r="F465" s="151">
        <v>161904</v>
      </c>
      <c r="G465" s="151"/>
      <c r="H465" s="151"/>
      <c r="I465" s="151"/>
      <c r="J465" s="151"/>
      <c r="K465" s="151"/>
      <c r="L465" s="151"/>
      <c r="M465" s="151"/>
      <c r="N465" s="151"/>
      <c r="O465" s="151"/>
      <c r="P465" s="151"/>
      <c r="Q465" s="151">
        <f t="shared" si="35"/>
        <v>0</v>
      </c>
      <c r="R465" s="706"/>
    </row>
    <row r="466" spans="1:18" ht="14.1" customHeight="1" x14ac:dyDescent="0.25">
      <c r="A466" s="172"/>
      <c r="B466" s="172"/>
      <c r="C466" s="188"/>
      <c r="D466" s="185" t="s">
        <v>239</v>
      </c>
      <c r="E466" s="236"/>
      <c r="F466" s="151"/>
      <c r="G466" s="151"/>
      <c r="H466" s="177"/>
      <c r="I466" s="177"/>
      <c r="J466" s="177"/>
      <c r="K466" s="177"/>
      <c r="L466" s="177"/>
      <c r="M466" s="151"/>
      <c r="N466" s="151"/>
      <c r="O466" s="151"/>
      <c r="P466" s="151"/>
      <c r="Q466" s="151"/>
      <c r="R466" s="706"/>
    </row>
    <row r="467" spans="1:18" ht="14.1" customHeight="1" x14ac:dyDescent="0.25">
      <c r="A467" s="172"/>
      <c r="B467" s="172"/>
      <c r="C467" s="188"/>
      <c r="D467" s="405" t="s">
        <v>679</v>
      </c>
      <c r="E467" s="151">
        <v>2</v>
      </c>
      <c r="F467" s="151">
        <v>151606</v>
      </c>
      <c r="G467" s="151"/>
      <c r="H467" s="151"/>
      <c r="I467" s="151"/>
      <c r="J467" s="151"/>
      <c r="K467" s="151">
        <v>150</v>
      </c>
      <c r="L467" s="151"/>
      <c r="M467" s="151"/>
      <c r="N467" s="151">
        <v>100</v>
      </c>
      <c r="O467" s="151"/>
      <c r="P467" s="151"/>
      <c r="Q467" s="151">
        <f>SUM(G467:P467)</f>
        <v>250</v>
      </c>
      <c r="R467" s="706" t="s">
        <v>1303</v>
      </c>
    </row>
    <row r="468" spans="1:18" ht="16.5" hidden="1" customHeight="1" x14ac:dyDescent="0.25">
      <c r="A468" s="172"/>
      <c r="B468" s="172"/>
      <c r="C468" s="188"/>
      <c r="D468" s="185" t="s">
        <v>575</v>
      </c>
      <c r="E468" s="236"/>
      <c r="F468" s="151"/>
      <c r="G468" s="151"/>
      <c r="H468" s="177"/>
      <c r="I468" s="177"/>
      <c r="J468" s="177"/>
      <c r="K468" s="177"/>
      <c r="L468" s="177"/>
      <c r="M468" s="151"/>
      <c r="N468" s="151"/>
      <c r="O468" s="151"/>
      <c r="P468" s="151"/>
      <c r="Q468" s="151"/>
      <c r="R468" s="706"/>
    </row>
    <row r="469" spans="1:18" ht="16.2" hidden="1" customHeight="1" x14ac:dyDescent="0.25">
      <c r="A469" s="172"/>
      <c r="B469" s="172"/>
      <c r="C469" s="188"/>
      <c r="D469" s="205" t="s">
        <v>1234</v>
      </c>
      <c r="E469" s="151">
        <v>2</v>
      </c>
      <c r="F469" s="151">
        <v>151203</v>
      </c>
      <c r="G469" s="151"/>
      <c r="H469" s="151"/>
      <c r="I469" s="151"/>
      <c r="J469" s="151"/>
      <c r="K469" s="151"/>
      <c r="L469" s="151"/>
      <c r="M469" s="151"/>
      <c r="N469" s="151"/>
      <c r="O469" s="151"/>
      <c r="P469" s="151"/>
      <c r="Q469" s="151">
        <f>SUM(G469:P469)</f>
        <v>0</v>
      </c>
      <c r="R469" s="706"/>
    </row>
    <row r="470" spans="1:18" ht="14.1" customHeight="1" x14ac:dyDescent="0.25">
      <c r="A470" s="237"/>
      <c r="B470" s="237"/>
      <c r="C470" s="238"/>
      <c r="D470" s="385" t="s">
        <v>680</v>
      </c>
      <c r="E470" s="226"/>
      <c r="F470" s="228"/>
      <c r="G470" s="228">
        <f t="shared" ref="G470:Q470" si="36">SUM(G462:G469)</f>
        <v>0</v>
      </c>
      <c r="H470" s="228">
        <f t="shared" si="36"/>
        <v>0</v>
      </c>
      <c r="I470" s="228">
        <f t="shared" si="36"/>
        <v>4322</v>
      </c>
      <c r="J470" s="228">
        <f t="shared" si="36"/>
        <v>0</v>
      </c>
      <c r="K470" s="228">
        <f t="shared" si="36"/>
        <v>150</v>
      </c>
      <c r="L470" s="228">
        <f t="shared" si="36"/>
        <v>0</v>
      </c>
      <c r="M470" s="228">
        <f t="shared" si="36"/>
        <v>0</v>
      </c>
      <c r="N470" s="228">
        <f t="shared" si="36"/>
        <v>100</v>
      </c>
      <c r="O470" s="228">
        <f t="shared" si="36"/>
        <v>0</v>
      </c>
      <c r="P470" s="228">
        <f t="shared" si="36"/>
        <v>0</v>
      </c>
      <c r="Q470" s="228">
        <f t="shared" si="36"/>
        <v>4572</v>
      </c>
      <c r="R470" s="707"/>
    </row>
    <row r="471" spans="1:18" ht="14.1" customHeight="1" x14ac:dyDescent="0.25">
      <c r="A471" s="172"/>
      <c r="B471" s="172"/>
      <c r="C471" s="188"/>
      <c r="D471" s="218" t="s">
        <v>681</v>
      </c>
      <c r="E471" s="200"/>
      <c r="F471" s="151"/>
      <c r="G471" s="177"/>
      <c r="H471" s="177"/>
      <c r="I471" s="177"/>
      <c r="J471" s="151"/>
      <c r="K471" s="151"/>
      <c r="L471" s="151"/>
      <c r="M471" s="151"/>
      <c r="N471" s="151"/>
      <c r="O471" s="151"/>
      <c r="P471" s="151"/>
      <c r="Q471" s="151"/>
      <c r="R471" s="706"/>
    </row>
    <row r="472" spans="1:18" ht="17.25" customHeight="1" x14ac:dyDescent="0.25">
      <c r="A472" s="172"/>
      <c r="B472" s="172"/>
      <c r="C472" s="406" t="s">
        <v>92</v>
      </c>
      <c r="D472" s="407" t="s">
        <v>588</v>
      </c>
      <c r="E472" s="200"/>
      <c r="F472" s="151"/>
      <c r="G472" s="177"/>
      <c r="H472" s="177"/>
      <c r="I472" s="177"/>
      <c r="J472" s="151"/>
      <c r="K472" s="151"/>
      <c r="L472" s="151"/>
      <c r="M472" s="151"/>
      <c r="N472" s="151"/>
      <c r="O472" s="151"/>
      <c r="P472" s="151"/>
      <c r="Q472" s="151"/>
      <c r="R472" s="706"/>
    </row>
    <row r="473" spans="1:18" ht="17.25" hidden="1" customHeight="1" x14ac:dyDescent="0.25">
      <c r="A473" s="172"/>
      <c r="B473" s="172"/>
      <c r="C473" s="408" t="s">
        <v>353</v>
      </c>
      <c r="D473" s="670" t="s">
        <v>682</v>
      </c>
      <c r="E473" s="200"/>
      <c r="F473" s="200">
        <v>164106</v>
      </c>
      <c r="G473" s="177"/>
      <c r="H473" s="177"/>
      <c r="I473" s="177"/>
      <c r="J473" s="177"/>
      <c r="K473" s="177"/>
      <c r="L473" s="177"/>
      <c r="M473" s="177"/>
      <c r="N473" s="177"/>
      <c r="O473" s="177"/>
      <c r="P473" s="177"/>
      <c r="Q473" s="151">
        <f>SUM(G473:P473)</f>
        <v>0</v>
      </c>
      <c r="R473" s="706"/>
    </row>
    <row r="474" spans="1:18" ht="21" hidden="1" customHeight="1" x14ac:dyDescent="0.25">
      <c r="A474" s="172"/>
      <c r="B474" s="172"/>
      <c r="C474" s="408" t="s">
        <v>589</v>
      </c>
      <c r="D474" s="409" t="s">
        <v>924</v>
      </c>
      <c r="E474" s="200"/>
      <c r="F474" s="200">
        <v>161909</v>
      </c>
      <c r="G474" s="177"/>
      <c r="H474" s="177"/>
      <c r="I474" s="177"/>
      <c r="J474" s="177"/>
      <c r="K474" s="177"/>
      <c r="L474" s="177"/>
      <c r="M474" s="177"/>
      <c r="N474" s="177"/>
      <c r="O474" s="177"/>
      <c r="P474" s="177"/>
      <c r="Q474" s="151">
        <f>SUM(G474:P474)</f>
        <v>0</v>
      </c>
      <c r="R474" s="706"/>
    </row>
    <row r="475" spans="1:18" ht="30" customHeight="1" x14ac:dyDescent="0.25">
      <c r="A475" s="507"/>
      <c r="B475" s="507"/>
      <c r="C475" s="408" t="s">
        <v>590</v>
      </c>
      <c r="D475" s="607" t="s">
        <v>1223</v>
      </c>
      <c r="E475" s="562"/>
      <c r="F475" s="565">
        <v>164207</v>
      </c>
      <c r="G475" s="563"/>
      <c r="H475" s="563"/>
      <c r="I475" s="563">
        <v>23368</v>
      </c>
      <c r="J475" s="563"/>
      <c r="K475" s="563"/>
      <c r="L475" s="563">
        <v>-247650</v>
      </c>
      <c r="M475" s="563">
        <v>224282</v>
      </c>
      <c r="N475" s="563"/>
      <c r="O475" s="563"/>
      <c r="P475" s="563"/>
      <c r="Q475" s="151">
        <f>SUM(G475:P475)</f>
        <v>0</v>
      </c>
      <c r="R475" s="706" t="s">
        <v>1294</v>
      </c>
    </row>
    <row r="476" spans="1:18" ht="17.399999999999999" hidden="1" customHeight="1" x14ac:dyDescent="0.25">
      <c r="A476" s="507"/>
      <c r="B476" s="507"/>
      <c r="C476" s="408" t="s">
        <v>592</v>
      </c>
      <c r="D476" s="580" t="s">
        <v>1186</v>
      </c>
      <c r="E476" s="574"/>
      <c r="F476" s="585">
        <v>162141</v>
      </c>
      <c r="G476" s="563"/>
      <c r="H476" s="563"/>
      <c r="I476" s="563"/>
      <c r="J476" s="563"/>
      <c r="K476" s="563"/>
      <c r="L476" s="563"/>
      <c r="M476" s="563"/>
      <c r="N476" s="563"/>
      <c r="O476" s="563"/>
      <c r="P476" s="563"/>
      <c r="Q476" s="151">
        <f t="shared" ref="Q476:Q477" si="37">SUM(G476:P476)</f>
        <v>0</v>
      </c>
      <c r="R476" s="706"/>
    </row>
    <row r="477" spans="1:18" ht="20.25" hidden="1" customHeight="1" x14ac:dyDescent="0.25">
      <c r="A477" s="507"/>
      <c r="B477" s="507"/>
      <c r="C477" s="408" t="s">
        <v>1188</v>
      </c>
      <c r="D477" s="580" t="s">
        <v>1187</v>
      </c>
      <c r="E477" s="574"/>
      <c r="F477" s="585">
        <v>162169</v>
      </c>
      <c r="G477" s="563"/>
      <c r="H477" s="563"/>
      <c r="I477" s="563"/>
      <c r="J477" s="563"/>
      <c r="K477" s="563"/>
      <c r="L477" s="563"/>
      <c r="M477" s="563"/>
      <c r="N477" s="563"/>
      <c r="O477" s="563"/>
      <c r="P477" s="563"/>
      <c r="Q477" s="151">
        <f t="shared" si="37"/>
        <v>0</v>
      </c>
      <c r="R477" s="706"/>
    </row>
    <row r="478" spans="1:18" ht="14.1" hidden="1" customHeight="1" x14ac:dyDescent="0.25">
      <c r="A478" s="172"/>
      <c r="B478" s="172"/>
      <c r="C478" s="188"/>
      <c r="D478" s="186" t="s">
        <v>1026</v>
      </c>
      <c r="E478" s="200"/>
      <c r="F478" s="555"/>
      <c r="G478" s="177"/>
      <c r="H478" s="177"/>
      <c r="I478" s="177"/>
      <c r="J478" s="177"/>
      <c r="K478" s="177"/>
      <c r="L478" s="177"/>
      <c r="M478" s="177"/>
      <c r="N478" s="177"/>
      <c r="O478" s="177"/>
      <c r="P478" s="177"/>
      <c r="Q478" s="151"/>
      <c r="R478" s="706"/>
    </row>
    <row r="479" spans="1:18" ht="21" hidden="1" customHeight="1" x14ac:dyDescent="0.25">
      <c r="A479" s="172"/>
      <c r="B479" s="172"/>
      <c r="C479" s="188" t="s">
        <v>355</v>
      </c>
      <c r="D479" s="369" t="s">
        <v>683</v>
      </c>
      <c r="E479" s="200"/>
      <c r="F479" s="555">
        <v>162107</v>
      </c>
      <c r="G479" s="177"/>
      <c r="H479" s="177"/>
      <c r="I479" s="177"/>
      <c r="J479" s="177"/>
      <c r="K479" s="177"/>
      <c r="L479" s="177"/>
      <c r="M479" s="177"/>
      <c r="N479" s="177"/>
      <c r="O479" s="177"/>
      <c r="P479" s="177"/>
      <c r="Q479" s="151">
        <f>SUM(G479:P479)</f>
        <v>0</v>
      </c>
      <c r="R479" s="706"/>
    </row>
    <row r="480" spans="1:18" ht="19.95" customHeight="1" x14ac:dyDescent="0.25">
      <c r="A480" s="172"/>
      <c r="B480" s="172"/>
      <c r="C480" s="389" t="s">
        <v>91</v>
      </c>
      <c r="D480" s="389" t="s">
        <v>599</v>
      </c>
      <c r="E480" s="200"/>
      <c r="F480" s="555"/>
      <c r="G480" s="177"/>
      <c r="H480" s="177"/>
      <c r="I480" s="177"/>
      <c r="J480" s="177"/>
      <c r="K480" s="177"/>
      <c r="L480" s="177"/>
      <c r="M480" s="177"/>
      <c r="N480" s="177"/>
      <c r="O480" s="177"/>
      <c r="P480" s="177"/>
      <c r="Q480" s="151"/>
      <c r="R480" s="706"/>
    </row>
    <row r="481" spans="1:18" ht="16.5" hidden="1" customHeight="1" x14ac:dyDescent="0.25">
      <c r="A481" s="172"/>
      <c r="B481" s="172"/>
      <c r="C481" s="671" t="s">
        <v>474</v>
      </c>
      <c r="D481" s="672" t="s">
        <v>684</v>
      </c>
      <c r="E481" s="555"/>
      <c r="F481" s="555">
        <v>164204</v>
      </c>
      <c r="G481" s="556"/>
      <c r="H481" s="556"/>
      <c r="I481" s="556"/>
      <c r="J481" s="556"/>
      <c r="K481" s="556"/>
      <c r="L481" s="556"/>
      <c r="M481" s="556"/>
      <c r="N481" s="556"/>
      <c r="O481" s="556"/>
      <c r="P481" s="556"/>
      <c r="Q481" s="268">
        <f>SUM(G481:P481)</f>
        <v>0</v>
      </c>
      <c r="R481" s="706"/>
    </row>
    <row r="482" spans="1:18" ht="18" hidden="1" customHeight="1" x14ac:dyDescent="0.25">
      <c r="A482" s="172"/>
      <c r="B482" s="172"/>
      <c r="C482" s="671" t="s">
        <v>475</v>
      </c>
      <c r="D482" s="673" t="s">
        <v>1207</v>
      </c>
      <c r="E482" s="564"/>
      <c r="F482" s="555">
        <v>164109</v>
      </c>
      <c r="G482" s="556"/>
      <c r="H482" s="556"/>
      <c r="I482" s="556"/>
      <c r="J482" s="556"/>
      <c r="K482" s="556"/>
      <c r="L482" s="556"/>
      <c r="M482" s="556"/>
      <c r="N482" s="556"/>
      <c r="O482" s="556"/>
      <c r="P482" s="556"/>
      <c r="Q482" s="268">
        <f>SUM(G482:P482)</f>
        <v>0</v>
      </c>
      <c r="R482" s="706"/>
    </row>
    <row r="483" spans="1:18" ht="18" customHeight="1" x14ac:dyDescent="0.25">
      <c r="A483" s="507"/>
      <c r="B483" s="507"/>
      <c r="C483" s="671" t="s">
        <v>865</v>
      </c>
      <c r="D483" s="674" t="s">
        <v>1185</v>
      </c>
      <c r="E483" s="591"/>
      <c r="F483" s="555">
        <v>162221</v>
      </c>
      <c r="G483" s="600"/>
      <c r="H483" s="600"/>
      <c r="I483" s="600"/>
      <c r="J483" s="600"/>
      <c r="K483" s="600"/>
      <c r="L483" s="600">
        <v>-4300</v>
      </c>
      <c r="M483" s="600"/>
      <c r="N483" s="600"/>
      <c r="O483" s="600"/>
      <c r="P483" s="600"/>
      <c r="Q483" s="268">
        <f>SUM(G483:P483)</f>
        <v>-4300</v>
      </c>
      <c r="R483" s="706" t="s">
        <v>1304</v>
      </c>
    </row>
    <row r="484" spans="1:18" ht="16.5" hidden="1" customHeight="1" x14ac:dyDescent="0.25">
      <c r="A484" s="172"/>
      <c r="B484" s="172"/>
      <c r="C484" s="675"/>
      <c r="D484" s="566" t="s">
        <v>1026</v>
      </c>
      <c r="E484" s="555"/>
      <c r="F484" s="555"/>
      <c r="G484" s="556"/>
      <c r="H484" s="556"/>
      <c r="I484" s="556"/>
      <c r="J484" s="556"/>
      <c r="K484" s="556"/>
      <c r="L484" s="556"/>
      <c r="M484" s="556"/>
      <c r="N484" s="556"/>
      <c r="O484" s="556"/>
      <c r="P484" s="556"/>
      <c r="Q484" s="268"/>
      <c r="R484" s="706"/>
    </row>
    <row r="485" spans="1:18" ht="27" hidden="1" customHeight="1" x14ac:dyDescent="0.25">
      <c r="A485" s="172"/>
      <c r="B485" s="172"/>
      <c r="C485" s="675" t="s">
        <v>685</v>
      </c>
      <c r="D485" s="676" t="s">
        <v>686</v>
      </c>
      <c r="E485" s="555"/>
      <c r="F485" s="555">
        <v>164205</v>
      </c>
      <c r="G485" s="556"/>
      <c r="H485" s="556"/>
      <c r="I485" s="556"/>
      <c r="J485" s="556"/>
      <c r="K485" s="556"/>
      <c r="L485" s="556"/>
      <c r="M485" s="556"/>
      <c r="N485" s="556"/>
      <c r="O485" s="556"/>
      <c r="P485" s="556"/>
      <c r="Q485" s="268">
        <f>SUM(G485:P485)</f>
        <v>0</v>
      </c>
      <c r="R485" s="706"/>
    </row>
    <row r="486" spans="1:18" ht="28.5" hidden="1" customHeight="1" x14ac:dyDescent="0.25">
      <c r="A486" s="172"/>
      <c r="B486" s="172"/>
      <c r="C486" s="675" t="s">
        <v>687</v>
      </c>
      <c r="D486" s="676" t="s">
        <v>688</v>
      </c>
      <c r="E486" s="555"/>
      <c r="F486" s="555">
        <v>164206</v>
      </c>
      <c r="G486" s="556"/>
      <c r="H486" s="556"/>
      <c r="I486" s="556"/>
      <c r="J486" s="556"/>
      <c r="K486" s="556"/>
      <c r="L486" s="556"/>
      <c r="M486" s="556"/>
      <c r="N486" s="556"/>
      <c r="O486" s="556"/>
      <c r="P486" s="556"/>
      <c r="Q486" s="268">
        <f>SUM(G486:P486)</f>
        <v>0</v>
      </c>
      <c r="R486" s="706"/>
    </row>
    <row r="487" spans="1:18" ht="18.600000000000001" customHeight="1" x14ac:dyDescent="0.25">
      <c r="A487" s="172"/>
      <c r="B487" s="172"/>
      <c r="C487" s="188" t="s">
        <v>1070</v>
      </c>
      <c r="D487" s="850" t="s">
        <v>925</v>
      </c>
      <c r="E487" s="851"/>
      <c r="F487" s="200">
        <v>162219</v>
      </c>
      <c r="G487" s="177"/>
      <c r="H487" s="177"/>
      <c r="I487" s="177"/>
      <c r="J487" s="177"/>
      <c r="K487" s="177"/>
      <c r="L487" s="177">
        <v>-1500</v>
      </c>
      <c r="M487" s="177"/>
      <c r="N487" s="177"/>
      <c r="O487" s="177"/>
      <c r="P487" s="177"/>
      <c r="Q487" s="151">
        <f>SUM(G487:P487)</f>
        <v>-1500</v>
      </c>
      <c r="R487" s="706" t="s">
        <v>1295</v>
      </c>
    </row>
    <row r="488" spans="1:18" ht="16.5" hidden="1" customHeight="1" x14ac:dyDescent="0.25">
      <c r="A488" s="172"/>
      <c r="B488" s="172"/>
      <c r="C488" s="410" t="s">
        <v>93</v>
      </c>
      <c r="D488" s="389" t="s">
        <v>689</v>
      </c>
      <c r="E488" s="200"/>
      <c r="F488" s="200"/>
      <c r="G488" s="177"/>
      <c r="H488" s="177"/>
      <c r="I488" s="177"/>
      <c r="J488" s="177"/>
      <c r="K488" s="177"/>
      <c r="L488" s="177"/>
      <c r="M488" s="177"/>
      <c r="N488" s="177"/>
      <c r="O488" s="177"/>
      <c r="P488" s="177"/>
      <c r="Q488" s="151"/>
      <c r="R488" s="706"/>
    </row>
    <row r="489" spans="1:18" ht="17.100000000000001" hidden="1" customHeight="1" x14ac:dyDescent="0.25">
      <c r="A489" s="172"/>
      <c r="B489" s="239"/>
      <c r="C489" s="410"/>
      <c r="D489" s="186" t="s">
        <v>1026</v>
      </c>
      <c r="E489" s="200"/>
      <c r="F489" s="200"/>
      <c r="G489" s="177"/>
      <c r="H489" s="177"/>
      <c r="I489" s="177"/>
      <c r="J489" s="177"/>
      <c r="K489" s="177"/>
      <c r="L489" s="177"/>
      <c r="M489" s="177"/>
      <c r="N489" s="177"/>
      <c r="O489" s="177"/>
      <c r="P489" s="177"/>
      <c r="Q489" s="151"/>
      <c r="R489" s="706"/>
    </row>
    <row r="490" spans="1:18" ht="17.399999999999999" hidden="1" customHeight="1" x14ac:dyDescent="0.25">
      <c r="A490" s="172"/>
      <c r="B490" s="239"/>
      <c r="C490" s="280" t="s">
        <v>602</v>
      </c>
      <c r="D490" s="411" t="s">
        <v>858</v>
      </c>
      <c r="E490" s="200"/>
      <c r="F490" s="200">
        <v>164301</v>
      </c>
      <c r="G490" s="177"/>
      <c r="H490" s="177"/>
      <c r="I490" s="177"/>
      <c r="J490" s="177"/>
      <c r="K490" s="177"/>
      <c r="L490" s="177"/>
      <c r="M490" s="177"/>
      <c r="N490" s="177"/>
      <c r="O490" s="177"/>
      <c r="P490" s="177"/>
      <c r="Q490" s="151">
        <f>SUM(G490:P490)</f>
        <v>0</v>
      </c>
      <c r="R490" s="706"/>
    </row>
    <row r="491" spans="1:18" ht="18" customHeight="1" x14ac:dyDescent="0.25">
      <c r="A491" s="172"/>
      <c r="B491" s="239"/>
      <c r="C491" s="281" t="s">
        <v>94</v>
      </c>
      <c r="D491" s="389" t="s">
        <v>690</v>
      </c>
      <c r="E491" s="200"/>
      <c r="F491" s="200"/>
      <c r="G491" s="177"/>
      <c r="H491" s="177"/>
      <c r="I491" s="177"/>
      <c r="J491" s="177"/>
      <c r="K491" s="177"/>
      <c r="L491" s="177"/>
      <c r="M491" s="177"/>
      <c r="N491" s="177"/>
      <c r="O491" s="177"/>
      <c r="P491" s="177"/>
      <c r="Q491" s="151"/>
      <c r="R491" s="706"/>
    </row>
    <row r="492" spans="1:18" ht="19.5" hidden="1" customHeight="1" x14ac:dyDescent="0.25">
      <c r="A492" s="172"/>
      <c r="B492" s="239"/>
      <c r="C492" s="281" t="s">
        <v>605</v>
      </c>
      <c r="D492" s="185" t="s">
        <v>1184</v>
      </c>
      <c r="E492" s="200"/>
      <c r="F492" s="555">
        <v>162402</v>
      </c>
      <c r="G492" s="177"/>
      <c r="H492" s="177"/>
      <c r="I492" s="177"/>
      <c r="J492" s="177"/>
      <c r="K492" s="177"/>
      <c r="L492" s="177"/>
      <c r="M492" s="177"/>
      <c r="N492" s="177"/>
      <c r="O492" s="177"/>
      <c r="P492" s="177"/>
      <c r="Q492" s="151">
        <f t="shared" ref="Q492:Q500" si="38">SUM(G492:P492)</f>
        <v>0</v>
      </c>
      <c r="R492" s="706"/>
    </row>
    <row r="493" spans="1:18" ht="17.25" hidden="1" customHeight="1" x14ac:dyDescent="0.25">
      <c r="A493" s="172"/>
      <c r="B493" s="239"/>
      <c r="C493" s="281" t="s">
        <v>606</v>
      </c>
      <c r="D493" s="183" t="s">
        <v>1189</v>
      </c>
      <c r="E493" s="351"/>
      <c r="F493" s="268">
        <v>164412</v>
      </c>
      <c r="G493" s="177"/>
      <c r="H493" s="177"/>
      <c r="I493" s="177"/>
      <c r="J493" s="177"/>
      <c r="K493" s="177"/>
      <c r="L493" s="177"/>
      <c r="M493" s="177"/>
      <c r="N493" s="177"/>
      <c r="O493" s="177"/>
      <c r="P493" s="177"/>
      <c r="Q493" s="151">
        <f t="shared" si="38"/>
        <v>0</v>
      </c>
      <c r="R493" s="706"/>
    </row>
    <row r="494" spans="1:18" ht="17.100000000000001" hidden="1" customHeight="1" x14ac:dyDescent="0.25">
      <c r="A494" s="172"/>
      <c r="B494" s="239"/>
      <c r="C494" s="281" t="s">
        <v>607</v>
      </c>
      <c r="D494" s="183" t="s">
        <v>1190</v>
      </c>
      <c r="E494" s="236"/>
      <c r="F494" s="268">
        <v>164423</v>
      </c>
      <c r="G494" s="177"/>
      <c r="H494" s="177"/>
      <c r="I494" s="177"/>
      <c r="J494" s="177"/>
      <c r="K494" s="177"/>
      <c r="L494" s="177"/>
      <c r="M494" s="177"/>
      <c r="N494" s="177"/>
      <c r="O494" s="177"/>
      <c r="P494" s="177"/>
      <c r="Q494" s="151">
        <f t="shared" si="38"/>
        <v>0</v>
      </c>
      <c r="R494" s="706"/>
    </row>
    <row r="495" spans="1:18" ht="18" hidden="1" customHeight="1" x14ac:dyDescent="0.25">
      <c r="A495" s="172"/>
      <c r="B495" s="239"/>
      <c r="C495" s="281" t="s">
        <v>608</v>
      </c>
      <c r="D495" s="365" t="s">
        <v>1191</v>
      </c>
      <c r="E495" s="286"/>
      <c r="F495" s="268">
        <v>164424</v>
      </c>
      <c r="G495" s="177"/>
      <c r="H495" s="177"/>
      <c r="I495" s="177"/>
      <c r="J495" s="177"/>
      <c r="K495" s="177"/>
      <c r="L495" s="177"/>
      <c r="M495" s="177"/>
      <c r="N495" s="177"/>
      <c r="O495" s="177"/>
      <c r="P495" s="177"/>
      <c r="Q495" s="151">
        <f t="shared" si="38"/>
        <v>0</v>
      </c>
      <c r="R495" s="706"/>
    </row>
    <row r="496" spans="1:18" ht="17.25" hidden="1" customHeight="1" x14ac:dyDescent="0.25">
      <c r="A496" s="172"/>
      <c r="B496" s="239"/>
      <c r="C496" s="281" t="s">
        <v>609</v>
      </c>
      <c r="D496" s="208" t="s">
        <v>1192</v>
      </c>
      <c r="E496" s="200"/>
      <c r="F496" s="268">
        <v>162411</v>
      </c>
      <c r="G496" s="177"/>
      <c r="H496" s="177"/>
      <c r="I496" s="177"/>
      <c r="J496" s="177"/>
      <c r="K496" s="177"/>
      <c r="L496" s="177"/>
      <c r="M496" s="177"/>
      <c r="N496" s="177"/>
      <c r="O496" s="177"/>
      <c r="P496" s="177"/>
      <c r="Q496" s="151">
        <f t="shared" si="38"/>
        <v>0</v>
      </c>
      <c r="R496" s="706"/>
    </row>
    <row r="497" spans="1:18" ht="19.5" customHeight="1" x14ac:dyDescent="0.25">
      <c r="A497" s="172"/>
      <c r="B497" s="239"/>
      <c r="C497" s="281" t="s">
        <v>610</v>
      </c>
      <c r="D497" s="844" t="s">
        <v>1193</v>
      </c>
      <c r="E497" s="845"/>
      <c r="F497" s="268">
        <v>162413</v>
      </c>
      <c r="G497" s="177"/>
      <c r="H497" s="177"/>
      <c r="I497" s="177"/>
      <c r="J497" s="177"/>
      <c r="K497" s="177"/>
      <c r="L497" s="177">
        <v>-302</v>
      </c>
      <c r="M497" s="177"/>
      <c r="N497" s="177"/>
      <c r="O497" s="177"/>
      <c r="P497" s="177"/>
      <c r="Q497" s="151">
        <f t="shared" si="38"/>
        <v>-302</v>
      </c>
      <c r="R497" s="706" t="s">
        <v>1295</v>
      </c>
    </row>
    <row r="498" spans="1:18" ht="19.5" hidden="1" customHeight="1" x14ac:dyDescent="0.25">
      <c r="A498" s="172"/>
      <c r="B498" s="239"/>
      <c r="C498" s="281" t="s">
        <v>611</v>
      </c>
      <c r="D498" s="381" t="s">
        <v>1197</v>
      </c>
      <c r="E498" s="200"/>
      <c r="F498" s="268">
        <v>162414</v>
      </c>
      <c r="G498" s="177"/>
      <c r="H498" s="177"/>
      <c r="I498" s="177"/>
      <c r="J498" s="177"/>
      <c r="K498" s="177"/>
      <c r="L498" s="177"/>
      <c r="M498" s="177"/>
      <c r="N498" s="177"/>
      <c r="O498" s="177"/>
      <c r="P498" s="177"/>
      <c r="Q498" s="151">
        <f t="shared" si="38"/>
        <v>0</v>
      </c>
      <c r="R498" s="706"/>
    </row>
    <row r="499" spans="1:18" ht="19.5" customHeight="1" x14ac:dyDescent="0.25">
      <c r="A499" s="507"/>
      <c r="B499" s="618"/>
      <c r="C499" s="281" t="s">
        <v>612</v>
      </c>
      <c r="D499" s="573" t="s">
        <v>1218</v>
      </c>
      <c r="E499" s="574"/>
      <c r="F499" s="585">
        <v>164425</v>
      </c>
      <c r="G499" s="563"/>
      <c r="H499" s="563"/>
      <c r="I499" s="563"/>
      <c r="J499" s="563"/>
      <c r="K499" s="563"/>
      <c r="L499" s="563">
        <v>7776</v>
      </c>
      <c r="M499" s="563">
        <v>-5000</v>
      </c>
      <c r="N499" s="563"/>
      <c r="O499" s="563"/>
      <c r="P499" s="563"/>
      <c r="Q499" s="510">
        <f t="shared" si="38"/>
        <v>2776</v>
      </c>
      <c r="R499" s="706" t="s">
        <v>1295</v>
      </c>
    </row>
    <row r="500" spans="1:18" ht="19.5" customHeight="1" x14ac:dyDescent="0.25">
      <c r="A500" s="507"/>
      <c r="B500" s="618"/>
      <c r="C500" s="281" t="s">
        <v>614</v>
      </c>
      <c r="D500" s="580" t="s">
        <v>1220</v>
      </c>
      <c r="E500" s="574"/>
      <c r="F500" s="585">
        <v>164426</v>
      </c>
      <c r="G500" s="510"/>
      <c r="H500" s="510"/>
      <c r="I500" s="510"/>
      <c r="J500" s="510"/>
      <c r="K500" s="510"/>
      <c r="L500" s="510"/>
      <c r="M500" s="510">
        <v>-492</v>
      </c>
      <c r="N500" s="510"/>
      <c r="O500" s="510"/>
      <c r="P500" s="510"/>
      <c r="Q500" s="510">
        <f t="shared" si="38"/>
        <v>-492</v>
      </c>
      <c r="R500" s="706" t="s">
        <v>1295</v>
      </c>
    </row>
    <row r="501" spans="1:18" ht="17.100000000000001" customHeight="1" x14ac:dyDescent="0.25">
      <c r="A501" s="172"/>
      <c r="B501" s="172"/>
      <c r="C501" s="281"/>
      <c r="D501" s="186" t="s">
        <v>1026</v>
      </c>
      <c r="E501" s="200"/>
      <c r="F501" s="555"/>
      <c r="G501" s="177"/>
      <c r="H501" s="177"/>
      <c r="I501" s="177"/>
      <c r="J501" s="177"/>
      <c r="K501" s="177"/>
      <c r="L501" s="177"/>
      <c r="M501" s="177"/>
      <c r="N501" s="177"/>
      <c r="O501" s="177"/>
      <c r="P501" s="177"/>
      <c r="Q501" s="151"/>
      <c r="R501" s="706"/>
    </row>
    <row r="502" spans="1:18" ht="17.100000000000001" customHeight="1" x14ac:dyDescent="0.25">
      <c r="A502" s="172"/>
      <c r="B502" s="172"/>
      <c r="C502" s="281" t="s">
        <v>636</v>
      </c>
      <c r="D502" s="365" t="s">
        <v>857</v>
      </c>
      <c r="E502" s="200"/>
      <c r="F502" s="555">
        <v>162431</v>
      </c>
      <c r="G502" s="177"/>
      <c r="H502" s="177"/>
      <c r="I502" s="177"/>
      <c r="J502" s="177"/>
      <c r="K502" s="177"/>
      <c r="L502" s="177">
        <v>-500</v>
      </c>
      <c r="M502" s="177"/>
      <c r="N502" s="177"/>
      <c r="O502" s="177"/>
      <c r="P502" s="177"/>
      <c r="Q502" s="151">
        <f t="shared" ref="Q502:Q504" si="39">SUM(G502:P502)</f>
        <v>-500</v>
      </c>
      <c r="R502" s="706" t="s">
        <v>1295</v>
      </c>
    </row>
    <row r="503" spans="1:18" ht="17.100000000000001" hidden="1" customHeight="1" x14ac:dyDescent="0.25">
      <c r="A503" s="172"/>
      <c r="B503" s="172"/>
      <c r="C503" s="413" t="s">
        <v>82</v>
      </c>
      <c r="D503" s="217" t="s">
        <v>646</v>
      </c>
      <c r="E503" s="200"/>
      <c r="F503" s="555"/>
      <c r="G503" s="177"/>
      <c r="H503" s="177"/>
      <c r="I503" s="177"/>
      <c r="J503" s="177"/>
      <c r="K503" s="177"/>
      <c r="L503" s="177"/>
      <c r="M503" s="177"/>
      <c r="N503" s="177"/>
      <c r="O503" s="177"/>
      <c r="P503" s="177"/>
      <c r="Q503" s="151"/>
      <c r="R503" s="706"/>
    </row>
    <row r="504" spans="1:18" ht="17.100000000000001" hidden="1" customHeight="1" x14ac:dyDescent="0.25">
      <c r="A504" s="172"/>
      <c r="B504" s="172"/>
      <c r="C504" s="413" t="s">
        <v>647</v>
      </c>
      <c r="D504" s="185" t="s">
        <v>1198</v>
      </c>
      <c r="E504" s="200"/>
      <c r="F504" s="555">
        <v>162506</v>
      </c>
      <c r="G504" s="177"/>
      <c r="H504" s="177"/>
      <c r="I504" s="177"/>
      <c r="J504" s="177"/>
      <c r="K504" s="177"/>
      <c r="L504" s="177"/>
      <c r="M504" s="177"/>
      <c r="N504" s="177"/>
      <c r="O504" s="177"/>
      <c r="P504" s="177"/>
      <c r="Q504" s="151">
        <f t="shared" si="39"/>
        <v>0</v>
      </c>
      <c r="R504" s="706"/>
    </row>
    <row r="505" spans="1:18" ht="17.100000000000001" hidden="1" customHeight="1" x14ac:dyDescent="0.25">
      <c r="A505" s="172"/>
      <c r="B505" s="172"/>
      <c r="C505" s="413"/>
      <c r="D505" s="186" t="s">
        <v>1026</v>
      </c>
      <c r="E505" s="200"/>
      <c r="F505" s="200"/>
      <c r="G505" s="177"/>
      <c r="H505" s="177"/>
      <c r="I505" s="177"/>
      <c r="J505" s="177"/>
      <c r="K505" s="177"/>
      <c r="L505" s="177"/>
      <c r="M505" s="177"/>
      <c r="N505" s="177"/>
      <c r="O505" s="177"/>
      <c r="P505" s="177"/>
      <c r="Q505" s="151"/>
      <c r="R505" s="706"/>
    </row>
    <row r="506" spans="1:18" ht="17.100000000000001" hidden="1" customHeight="1" x14ac:dyDescent="0.25">
      <c r="A506" s="172"/>
      <c r="B506" s="172"/>
      <c r="C506" s="281" t="s">
        <v>655</v>
      </c>
      <c r="D506" s="398" t="s">
        <v>691</v>
      </c>
      <c r="E506" s="200"/>
      <c r="F506" s="200">
        <v>162505</v>
      </c>
      <c r="G506" s="177"/>
      <c r="H506" s="177"/>
      <c r="I506" s="177"/>
      <c r="J506" s="177"/>
      <c r="K506" s="177"/>
      <c r="L506" s="177"/>
      <c r="M506" s="177"/>
      <c r="N506" s="177"/>
      <c r="O506" s="177"/>
      <c r="P506" s="177"/>
      <c r="Q506" s="151">
        <f>SUM(G506:P506)</f>
        <v>0</v>
      </c>
      <c r="R506" s="706"/>
    </row>
    <row r="507" spans="1:18" ht="18" customHeight="1" x14ac:dyDescent="0.25">
      <c r="A507" s="172"/>
      <c r="B507" s="172"/>
      <c r="C507" s="410" t="s">
        <v>81</v>
      </c>
      <c r="D507" s="389" t="s">
        <v>692</v>
      </c>
      <c r="E507" s="200"/>
      <c r="F507" s="200"/>
      <c r="G507" s="177"/>
      <c r="H507" s="177"/>
      <c r="I507" s="177"/>
      <c r="J507" s="177"/>
      <c r="K507" s="177"/>
      <c r="L507" s="177"/>
      <c r="M507" s="177"/>
      <c r="N507" s="177"/>
      <c r="O507" s="177"/>
      <c r="P507" s="177"/>
      <c r="Q507" s="151"/>
      <c r="R507" s="706"/>
    </row>
    <row r="508" spans="1:18" ht="27" hidden="1" customHeight="1" x14ac:dyDescent="0.25">
      <c r="A508" s="172"/>
      <c r="B508" s="172"/>
      <c r="C508" s="282" t="s">
        <v>927</v>
      </c>
      <c r="D508" s="583" t="s">
        <v>1169</v>
      </c>
      <c r="E508" s="200"/>
      <c r="F508" s="555">
        <v>164944</v>
      </c>
      <c r="G508" s="177"/>
      <c r="H508" s="177"/>
      <c r="I508" s="177"/>
      <c r="J508" s="177"/>
      <c r="K508" s="177"/>
      <c r="L508" s="177"/>
      <c r="M508" s="177"/>
      <c r="N508" s="177"/>
      <c r="O508" s="177"/>
      <c r="P508" s="177"/>
      <c r="Q508" s="151">
        <f>SUM(G508:P508)</f>
        <v>0</v>
      </c>
      <c r="R508" s="706"/>
    </row>
    <row r="509" spans="1:18" ht="18" hidden="1" customHeight="1" x14ac:dyDescent="0.25">
      <c r="A509" s="172"/>
      <c r="B509" s="172"/>
      <c r="C509" s="410"/>
      <c r="D509" s="186" t="s">
        <v>1026</v>
      </c>
      <c r="E509" s="200"/>
      <c r="F509" s="200"/>
      <c r="G509" s="177"/>
      <c r="H509" s="177"/>
      <c r="I509" s="177"/>
      <c r="J509" s="177"/>
      <c r="K509" s="177"/>
      <c r="L509" s="177"/>
      <c r="M509" s="177"/>
      <c r="N509" s="177"/>
      <c r="O509" s="177"/>
      <c r="P509" s="177"/>
      <c r="Q509" s="151"/>
      <c r="R509" s="706"/>
    </row>
    <row r="510" spans="1:18" ht="18" hidden="1" customHeight="1" x14ac:dyDescent="0.25">
      <c r="A510" s="172"/>
      <c r="B510" s="172"/>
      <c r="C510" s="282" t="s">
        <v>480</v>
      </c>
      <c r="D510" s="412" t="s">
        <v>693</v>
      </c>
      <c r="E510" s="200"/>
      <c r="F510" s="200">
        <v>162601</v>
      </c>
      <c r="G510" s="177"/>
      <c r="H510" s="177"/>
      <c r="I510" s="177"/>
      <c r="J510" s="177"/>
      <c r="K510" s="177"/>
      <c r="L510" s="177"/>
      <c r="M510" s="177"/>
      <c r="N510" s="177"/>
      <c r="O510" s="177"/>
      <c r="P510" s="177"/>
      <c r="Q510" s="151">
        <f>SUM(G510:P510)</f>
        <v>0</v>
      </c>
      <c r="R510" s="706"/>
    </row>
    <row r="511" spans="1:18" ht="26.25" customHeight="1" x14ac:dyDescent="0.25">
      <c r="A511" s="172"/>
      <c r="B511" s="172"/>
      <c r="C511" s="282" t="s">
        <v>481</v>
      </c>
      <c r="D511" s="590" t="s">
        <v>1183</v>
      </c>
      <c r="E511" s="200"/>
      <c r="F511" s="200">
        <v>162636</v>
      </c>
      <c r="G511" s="177"/>
      <c r="H511" s="177"/>
      <c r="I511" s="177">
        <v>381</v>
      </c>
      <c r="J511" s="177"/>
      <c r="K511" s="177"/>
      <c r="L511" s="177">
        <v>-1905</v>
      </c>
      <c r="M511" s="177">
        <v>1524</v>
      </c>
      <c r="N511" s="177"/>
      <c r="O511" s="177"/>
      <c r="P511" s="177"/>
      <c r="Q511" s="151">
        <f>SUM(G511:P511)</f>
        <v>0</v>
      </c>
      <c r="R511" s="706" t="s">
        <v>1294</v>
      </c>
    </row>
    <row r="512" spans="1:18" ht="18" customHeight="1" x14ac:dyDescent="0.25">
      <c r="A512" s="172"/>
      <c r="B512" s="172"/>
      <c r="C512" s="282" t="s">
        <v>482</v>
      </c>
      <c r="D512" s="412" t="s">
        <v>694</v>
      </c>
      <c r="E512" s="200"/>
      <c r="F512" s="200">
        <v>162637</v>
      </c>
      <c r="G512" s="177"/>
      <c r="H512" s="177"/>
      <c r="I512" s="177">
        <v>996</v>
      </c>
      <c r="J512" s="177"/>
      <c r="K512" s="177"/>
      <c r="L512" s="177">
        <v>-996</v>
      </c>
      <c r="M512" s="177"/>
      <c r="N512" s="177"/>
      <c r="O512" s="177"/>
      <c r="P512" s="177"/>
      <c r="Q512" s="151">
        <f>SUM(G512:P512)</f>
        <v>0</v>
      </c>
      <c r="R512" s="706" t="s">
        <v>1295</v>
      </c>
    </row>
    <row r="513" spans="1:18" ht="18" hidden="1" customHeight="1" x14ac:dyDescent="0.25">
      <c r="A513" s="172"/>
      <c r="B513" s="172"/>
      <c r="C513" s="282" t="s">
        <v>483</v>
      </c>
      <c r="D513" s="481" t="s">
        <v>928</v>
      </c>
      <c r="E513" s="200"/>
      <c r="F513" s="151">
        <v>162971</v>
      </c>
      <c r="G513" s="177"/>
      <c r="H513" s="177"/>
      <c r="I513" s="177"/>
      <c r="J513" s="177"/>
      <c r="K513" s="177"/>
      <c r="L513" s="177"/>
      <c r="M513" s="177"/>
      <c r="N513" s="177"/>
      <c r="O513" s="177"/>
      <c r="P513" s="177"/>
      <c r="Q513" s="151">
        <f>SUM(G513:P513)</f>
        <v>0</v>
      </c>
      <c r="R513" s="706"/>
    </row>
    <row r="514" spans="1:18" ht="18" hidden="1" customHeight="1" x14ac:dyDescent="0.25">
      <c r="A514" s="172"/>
      <c r="B514" s="172"/>
      <c r="C514" s="410" t="s">
        <v>83</v>
      </c>
      <c r="D514" s="414" t="s">
        <v>658</v>
      </c>
      <c r="E514" s="200"/>
      <c r="F514" s="200"/>
      <c r="G514" s="177"/>
      <c r="H514" s="177"/>
      <c r="I514" s="177"/>
      <c r="J514" s="177"/>
      <c r="K514" s="177"/>
      <c r="L514" s="177"/>
      <c r="M514" s="177"/>
      <c r="N514" s="177"/>
      <c r="O514" s="177"/>
      <c r="P514" s="177"/>
      <c r="Q514" s="151"/>
      <c r="R514" s="706"/>
    </row>
    <row r="515" spans="1:18" ht="18" hidden="1" customHeight="1" x14ac:dyDescent="0.25">
      <c r="A515" s="172"/>
      <c r="B515" s="172"/>
      <c r="C515" s="612"/>
      <c r="D515" s="608" t="s">
        <v>1026</v>
      </c>
      <c r="E515" s="200"/>
      <c r="F515" s="200"/>
      <c r="G515" s="177"/>
      <c r="H515" s="177"/>
      <c r="I515" s="177"/>
      <c r="J515" s="177"/>
      <c r="K515" s="177"/>
      <c r="L515" s="177"/>
      <c r="M515" s="177"/>
      <c r="N515" s="177"/>
      <c r="O515" s="177"/>
      <c r="P515" s="177"/>
      <c r="Q515" s="151"/>
      <c r="R515" s="706"/>
    </row>
    <row r="516" spans="1:18" ht="27.75" hidden="1" customHeight="1" x14ac:dyDescent="0.25">
      <c r="A516" s="172"/>
      <c r="B516" s="172"/>
      <c r="C516" s="678" t="s">
        <v>695</v>
      </c>
      <c r="D516" s="679" t="s">
        <v>696</v>
      </c>
      <c r="E516" s="200"/>
      <c r="F516" s="200">
        <v>162701</v>
      </c>
      <c r="G516" s="177"/>
      <c r="H516" s="177"/>
      <c r="I516" s="177"/>
      <c r="J516" s="177"/>
      <c r="K516" s="177"/>
      <c r="L516" s="177"/>
      <c r="M516" s="177"/>
      <c r="N516" s="177"/>
      <c r="O516" s="177"/>
      <c r="P516" s="177"/>
      <c r="Q516" s="151">
        <f>SUM(G516:P516)</f>
        <v>0</v>
      </c>
      <c r="R516" s="706"/>
    </row>
    <row r="517" spans="1:18" ht="18" hidden="1" customHeight="1" x14ac:dyDescent="0.25">
      <c r="A517" s="172"/>
      <c r="B517" s="172"/>
      <c r="C517" s="613" t="s">
        <v>84</v>
      </c>
      <c r="D517" s="609" t="s">
        <v>659</v>
      </c>
      <c r="E517" s="200"/>
      <c r="F517" s="200"/>
      <c r="G517" s="177"/>
      <c r="H517" s="177"/>
      <c r="I517" s="177"/>
      <c r="J517" s="177"/>
      <c r="K517" s="177"/>
      <c r="L517" s="177"/>
      <c r="M517" s="177"/>
      <c r="N517" s="177"/>
      <c r="O517" s="177"/>
      <c r="P517" s="177"/>
      <c r="Q517" s="151"/>
      <c r="R517" s="706"/>
    </row>
    <row r="518" spans="1:18" ht="18" customHeight="1" x14ac:dyDescent="0.25">
      <c r="A518" s="172"/>
      <c r="B518" s="172"/>
      <c r="C518" s="614" t="s">
        <v>85</v>
      </c>
      <c r="D518" s="609" t="s">
        <v>661</v>
      </c>
      <c r="E518" s="200"/>
      <c r="F518" s="200"/>
      <c r="G518" s="177"/>
      <c r="H518" s="177"/>
      <c r="I518" s="177"/>
      <c r="J518" s="177"/>
      <c r="K518" s="177"/>
      <c r="L518" s="177"/>
      <c r="M518" s="177"/>
      <c r="N518" s="177"/>
      <c r="O518" s="177"/>
      <c r="P518" s="177"/>
      <c r="Q518" s="151"/>
      <c r="R518" s="706"/>
    </row>
    <row r="519" spans="1:18" ht="18" hidden="1" customHeight="1" x14ac:dyDescent="0.25">
      <c r="A519" s="172"/>
      <c r="B519" s="172"/>
      <c r="C519" s="615" t="s">
        <v>662</v>
      </c>
      <c r="D519" s="677" t="s">
        <v>697</v>
      </c>
      <c r="E519" s="200"/>
      <c r="F519" s="200">
        <v>164921</v>
      </c>
      <c r="G519" s="177"/>
      <c r="H519" s="177"/>
      <c r="I519" s="177"/>
      <c r="J519" s="177"/>
      <c r="K519" s="177"/>
      <c r="L519" s="177"/>
      <c r="M519" s="177"/>
      <c r="N519" s="177"/>
      <c r="O519" s="177"/>
      <c r="P519" s="177"/>
      <c r="Q519" s="151">
        <f t="shared" ref="Q519:Q527" si="40">SUM(G519:P519)</f>
        <v>0</v>
      </c>
      <c r="R519" s="706"/>
    </row>
    <row r="520" spans="1:18" ht="18" hidden="1" customHeight="1" x14ac:dyDescent="0.25">
      <c r="A520" s="172"/>
      <c r="B520" s="172"/>
      <c r="C520" s="615" t="s">
        <v>663</v>
      </c>
      <c r="D520" s="286" t="s">
        <v>1166</v>
      </c>
      <c r="F520" s="200">
        <v>164938</v>
      </c>
      <c r="G520" s="177"/>
      <c r="H520" s="177"/>
      <c r="I520" s="177"/>
      <c r="J520" s="177"/>
      <c r="K520" s="177"/>
      <c r="L520" s="177"/>
      <c r="M520" s="177"/>
      <c r="N520" s="177"/>
      <c r="O520" s="177"/>
      <c r="P520" s="177"/>
      <c r="Q520" s="151">
        <f t="shared" si="40"/>
        <v>0</v>
      </c>
      <c r="R520" s="706"/>
    </row>
    <row r="521" spans="1:18" ht="18" hidden="1" customHeight="1" x14ac:dyDescent="0.25">
      <c r="A521" s="172"/>
      <c r="B521" s="172"/>
      <c r="C521" s="615" t="s">
        <v>698</v>
      </c>
      <c r="D521" s="876" t="s">
        <v>1167</v>
      </c>
      <c r="E521" s="877"/>
      <c r="F521" s="200">
        <v>164939</v>
      </c>
      <c r="G521" s="177"/>
      <c r="H521" s="177"/>
      <c r="I521" s="177"/>
      <c r="J521" s="177"/>
      <c r="K521" s="177"/>
      <c r="L521" s="177"/>
      <c r="M521" s="177"/>
      <c r="N521" s="177"/>
      <c r="O521" s="177"/>
      <c r="P521" s="177"/>
      <c r="Q521" s="151">
        <f t="shared" si="40"/>
        <v>0</v>
      </c>
      <c r="R521" s="706"/>
    </row>
    <row r="522" spans="1:18" ht="18" hidden="1" customHeight="1" x14ac:dyDescent="0.25">
      <c r="A522" s="172"/>
      <c r="B522" s="172"/>
      <c r="C522" s="615" t="s">
        <v>699</v>
      </c>
      <c r="D522" s="681" t="s">
        <v>1168</v>
      </c>
      <c r="F522" s="200">
        <v>164940</v>
      </c>
      <c r="G522" s="177"/>
      <c r="H522" s="177"/>
      <c r="I522" s="177"/>
      <c r="J522" s="177"/>
      <c r="K522" s="177"/>
      <c r="L522" s="177"/>
      <c r="M522" s="177"/>
      <c r="N522" s="177"/>
      <c r="O522" s="177"/>
      <c r="P522" s="177"/>
      <c r="Q522" s="151">
        <f t="shared" si="40"/>
        <v>0</v>
      </c>
      <c r="R522" s="706"/>
    </row>
    <row r="523" spans="1:18" ht="18" hidden="1" customHeight="1" x14ac:dyDescent="0.25">
      <c r="A523" s="172"/>
      <c r="B523" s="172"/>
      <c r="C523" s="615" t="s">
        <v>700</v>
      </c>
      <c r="D523" s="610" t="s">
        <v>1170</v>
      </c>
      <c r="E523" s="200"/>
      <c r="F523" s="200">
        <v>162979</v>
      </c>
      <c r="G523" s="177"/>
      <c r="H523" s="177"/>
      <c r="I523" s="177"/>
      <c r="J523" s="177"/>
      <c r="K523" s="177"/>
      <c r="L523" s="177"/>
      <c r="M523" s="177"/>
      <c r="N523" s="177"/>
      <c r="O523" s="177"/>
      <c r="P523" s="177"/>
      <c r="Q523" s="151">
        <f t="shared" si="40"/>
        <v>0</v>
      </c>
      <c r="R523" s="706"/>
    </row>
    <row r="524" spans="1:18" ht="18" hidden="1" customHeight="1" x14ac:dyDescent="0.25">
      <c r="A524" s="507"/>
      <c r="B524" s="507"/>
      <c r="C524" s="615" t="s">
        <v>1173</v>
      </c>
      <c r="D524" s="611" t="s">
        <v>1171</v>
      </c>
      <c r="E524" s="574"/>
      <c r="F524" s="200">
        <v>164941</v>
      </c>
      <c r="G524" s="563"/>
      <c r="H524" s="563"/>
      <c r="I524" s="563"/>
      <c r="J524" s="563"/>
      <c r="K524" s="563"/>
      <c r="L524" s="563"/>
      <c r="M524" s="600"/>
      <c r="N524" s="563"/>
      <c r="O524" s="563"/>
      <c r="P524" s="563"/>
      <c r="Q524" s="151">
        <f t="shared" si="40"/>
        <v>0</v>
      </c>
      <c r="R524" s="706"/>
    </row>
    <row r="525" spans="1:18" ht="18" hidden="1" customHeight="1" x14ac:dyDescent="0.25">
      <c r="A525" s="507"/>
      <c r="B525" s="507"/>
      <c r="C525" s="615" t="s">
        <v>1174</v>
      </c>
      <c r="D525" s="611" t="s">
        <v>1172</v>
      </c>
      <c r="E525" s="574"/>
      <c r="F525" s="200">
        <v>164942</v>
      </c>
      <c r="G525" s="563"/>
      <c r="H525" s="563"/>
      <c r="I525" s="563"/>
      <c r="J525" s="563"/>
      <c r="K525" s="563"/>
      <c r="L525" s="563"/>
      <c r="M525" s="600"/>
      <c r="N525" s="563"/>
      <c r="O525" s="563"/>
      <c r="P525" s="563"/>
      <c r="Q525" s="151">
        <f t="shared" si="40"/>
        <v>0</v>
      </c>
      <c r="R525" s="706"/>
    </row>
    <row r="526" spans="1:18" ht="24" customHeight="1" x14ac:dyDescent="0.25">
      <c r="A526" s="507"/>
      <c r="B526" s="507"/>
      <c r="C526" s="615" t="s">
        <v>1194</v>
      </c>
      <c r="D526" s="768" t="s">
        <v>1305</v>
      </c>
      <c r="E526" s="585"/>
      <c r="F526" s="585">
        <v>164928</v>
      </c>
      <c r="G526" s="563"/>
      <c r="H526" s="563"/>
      <c r="I526" s="563"/>
      <c r="J526" s="563"/>
      <c r="K526" s="563"/>
      <c r="L526" s="563"/>
      <c r="M526" s="600">
        <v>-500</v>
      </c>
      <c r="N526" s="563">
        <v>500</v>
      </c>
      <c r="O526" s="563"/>
      <c r="P526" s="563"/>
      <c r="Q526" s="510">
        <f t="shared" si="40"/>
        <v>0</v>
      </c>
      <c r="R526" s="706" t="s">
        <v>1295</v>
      </c>
    </row>
    <row r="527" spans="1:18" ht="18" customHeight="1" x14ac:dyDescent="0.25">
      <c r="A527" s="507"/>
      <c r="B527" s="507"/>
      <c r="C527" s="615" t="s">
        <v>1208</v>
      </c>
      <c r="D527" s="629" t="s">
        <v>1231</v>
      </c>
      <c r="E527" s="574"/>
      <c r="F527" s="585">
        <v>164943</v>
      </c>
      <c r="G527" s="563"/>
      <c r="H527" s="563"/>
      <c r="I527" s="563"/>
      <c r="J527" s="563"/>
      <c r="K527" s="600">
        <v>1000</v>
      </c>
      <c r="L527" s="563"/>
      <c r="M527" s="600"/>
      <c r="N527" s="563"/>
      <c r="O527" s="563"/>
      <c r="P527" s="563"/>
      <c r="Q527" s="510">
        <f t="shared" si="40"/>
        <v>1000</v>
      </c>
      <c r="R527" s="706" t="s">
        <v>1295</v>
      </c>
    </row>
    <row r="528" spans="1:18" ht="15.75" hidden="1" customHeight="1" x14ac:dyDescent="0.25">
      <c r="A528" s="172"/>
      <c r="B528" s="172"/>
      <c r="C528" s="613"/>
      <c r="D528" s="608" t="s">
        <v>1026</v>
      </c>
      <c r="E528" s="200"/>
      <c r="F528" s="200"/>
      <c r="G528" s="177"/>
      <c r="H528" s="177"/>
      <c r="I528" s="177"/>
      <c r="J528" s="177"/>
      <c r="K528" s="177"/>
      <c r="L528" s="177"/>
      <c r="M528" s="177"/>
      <c r="N528" s="177"/>
      <c r="O528" s="177"/>
      <c r="P528" s="177"/>
      <c r="Q528" s="151"/>
      <c r="R528" s="706"/>
    </row>
    <row r="529" spans="1:18" ht="38.25" hidden="1" customHeight="1" x14ac:dyDescent="0.25">
      <c r="A529" s="172"/>
      <c r="B529" s="172"/>
      <c r="C529" s="571" t="s">
        <v>665</v>
      </c>
      <c r="D529" s="680" t="s">
        <v>931</v>
      </c>
      <c r="E529" s="200"/>
      <c r="F529" s="200">
        <v>174902</v>
      </c>
      <c r="G529" s="177"/>
      <c r="H529" s="177"/>
      <c r="I529" s="177"/>
      <c r="J529" s="177"/>
      <c r="K529" s="177"/>
      <c r="L529" s="177"/>
      <c r="M529" s="177"/>
      <c r="N529" s="177"/>
      <c r="O529" s="177"/>
      <c r="P529" s="177"/>
      <c r="Q529" s="151">
        <f t="shared" ref="Q529:Q543" si="41">SUM(G529:P529)</f>
        <v>0</v>
      </c>
      <c r="R529" s="706"/>
    </row>
    <row r="530" spans="1:18" ht="18" customHeight="1" x14ac:dyDescent="0.25">
      <c r="A530" s="172"/>
      <c r="B530" s="172"/>
      <c r="C530" s="188" t="s">
        <v>666</v>
      </c>
      <c r="D530" s="186" t="s">
        <v>1116</v>
      </c>
      <c r="E530" s="200"/>
      <c r="F530" s="200">
        <v>162942</v>
      </c>
      <c r="G530" s="177"/>
      <c r="H530" s="177"/>
      <c r="I530" s="177"/>
      <c r="J530" s="177"/>
      <c r="K530" s="177"/>
      <c r="L530" s="177"/>
      <c r="M530" s="177">
        <v>4350</v>
      </c>
      <c r="N530" s="177"/>
      <c r="O530" s="177"/>
      <c r="P530" s="177"/>
      <c r="Q530" s="151">
        <f t="shared" si="41"/>
        <v>4350</v>
      </c>
      <c r="R530" s="706" t="s">
        <v>1294</v>
      </c>
    </row>
    <row r="531" spans="1:18" ht="18" hidden="1" customHeight="1" x14ac:dyDescent="0.25">
      <c r="A531" s="172"/>
      <c r="B531" s="172"/>
      <c r="C531" s="188" t="s">
        <v>667</v>
      </c>
      <c r="D531" s="277" t="s">
        <v>701</v>
      </c>
      <c r="E531" s="200"/>
      <c r="F531" s="200">
        <v>162903</v>
      </c>
      <c r="G531" s="177"/>
      <c r="H531" s="177"/>
      <c r="I531" s="177"/>
      <c r="J531" s="177"/>
      <c r="K531" s="177"/>
      <c r="L531" s="177"/>
      <c r="M531" s="177"/>
      <c r="N531" s="177"/>
      <c r="O531" s="177"/>
      <c r="P531" s="177"/>
      <c r="Q531" s="151">
        <f t="shared" si="41"/>
        <v>0</v>
      </c>
      <c r="R531" s="706"/>
    </row>
    <row r="532" spans="1:18" ht="18" hidden="1" customHeight="1" x14ac:dyDescent="0.25">
      <c r="A532" s="172"/>
      <c r="B532" s="172"/>
      <c r="C532" s="188" t="s">
        <v>669</v>
      </c>
      <c r="D532" s="277" t="s">
        <v>703</v>
      </c>
      <c r="E532" s="200"/>
      <c r="F532" s="200">
        <v>162958</v>
      </c>
      <c r="G532" s="177"/>
      <c r="H532" s="177"/>
      <c r="I532" s="177"/>
      <c r="J532" s="177"/>
      <c r="K532" s="177"/>
      <c r="L532" s="177"/>
      <c r="M532" s="177"/>
      <c r="N532" s="177"/>
      <c r="O532" s="177"/>
      <c r="P532" s="177"/>
      <c r="Q532" s="151">
        <f t="shared" si="41"/>
        <v>0</v>
      </c>
      <c r="R532" s="706"/>
    </row>
    <row r="533" spans="1:18" ht="17.25" hidden="1" customHeight="1" x14ac:dyDescent="0.25">
      <c r="A533" s="172"/>
      <c r="B533" s="172"/>
      <c r="C533" s="188" t="s">
        <v>670</v>
      </c>
      <c r="D533" s="277" t="s">
        <v>932</v>
      </c>
      <c r="E533" s="200"/>
      <c r="F533" s="200">
        <v>162929</v>
      </c>
      <c r="G533" s="177"/>
      <c r="H533" s="177"/>
      <c r="I533" s="177"/>
      <c r="J533" s="177"/>
      <c r="K533" s="177"/>
      <c r="L533" s="177"/>
      <c r="M533" s="177"/>
      <c r="N533" s="177"/>
      <c r="O533" s="177"/>
      <c r="P533" s="177"/>
      <c r="Q533" s="151">
        <f t="shared" si="41"/>
        <v>0</v>
      </c>
      <c r="R533" s="706"/>
    </row>
    <row r="534" spans="1:18" ht="26.25" hidden="1" customHeight="1" x14ac:dyDescent="0.25">
      <c r="A534" s="172"/>
      <c r="B534" s="172"/>
      <c r="C534" s="188" t="s">
        <v>671</v>
      </c>
      <c r="D534" s="365" t="s">
        <v>933</v>
      </c>
      <c r="E534" s="200"/>
      <c r="F534" s="200">
        <v>162967</v>
      </c>
      <c r="G534" s="177"/>
      <c r="H534" s="177"/>
      <c r="I534" s="177"/>
      <c r="J534" s="177"/>
      <c r="K534" s="177"/>
      <c r="L534" s="177"/>
      <c r="M534" s="177"/>
      <c r="N534" s="177"/>
      <c r="O534" s="177"/>
      <c r="P534" s="177"/>
      <c r="Q534" s="151">
        <f t="shared" si="41"/>
        <v>0</v>
      </c>
      <c r="R534" s="706"/>
    </row>
    <row r="535" spans="1:18" ht="20.25" hidden="1" customHeight="1" x14ac:dyDescent="0.25">
      <c r="A535" s="172"/>
      <c r="B535" s="172"/>
      <c r="C535" s="188" t="s">
        <v>672</v>
      </c>
      <c r="D535" s="365" t="s">
        <v>934</v>
      </c>
      <c r="E535" s="200"/>
      <c r="F535" s="200">
        <v>164933</v>
      </c>
      <c r="G535" s="177"/>
      <c r="H535" s="177"/>
      <c r="I535" s="177"/>
      <c r="J535" s="177"/>
      <c r="K535" s="177"/>
      <c r="L535" s="177"/>
      <c r="M535" s="177"/>
      <c r="N535" s="177"/>
      <c r="O535" s="177"/>
      <c r="P535" s="177"/>
      <c r="Q535" s="151">
        <f t="shared" si="41"/>
        <v>0</v>
      </c>
      <c r="R535" s="706"/>
    </row>
    <row r="536" spans="1:18" ht="20.25" hidden="1" customHeight="1" x14ac:dyDescent="0.25">
      <c r="A536" s="172"/>
      <c r="B536" s="172"/>
      <c r="C536" s="188" t="s">
        <v>702</v>
      </c>
      <c r="D536" s="210" t="s">
        <v>929</v>
      </c>
      <c r="E536" s="286"/>
      <c r="F536" s="286">
        <v>164934</v>
      </c>
      <c r="G536" s="177"/>
      <c r="H536" s="177"/>
      <c r="I536" s="177"/>
      <c r="J536" s="177"/>
      <c r="K536" s="177"/>
      <c r="L536" s="177"/>
      <c r="M536" s="177"/>
      <c r="N536" s="177"/>
      <c r="O536" s="177"/>
      <c r="P536" s="177"/>
      <c r="Q536" s="151">
        <f t="shared" si="41"/>
        <v>0</v>
      </c>
      <c r="R536" s="706"/>
    </row>
    <row r="537" spans="1:18" ht="20.25" hidden="1" customHeight="1" x14ac:dyDescent="0.25">
      <c r="A537" s="172"/>
      <c r="B537" s="172"/>
      <c r="C537" s="188" t="s">
        <v>1071</v>
      </c>
      <c r="D537" s="208" t="s">
        <v>930</v>
      </c>
      <c r="E537" s="200"/>
      <c r="F537" s="200">
        <v>164936</v>
      </c>
      <c r="G537" s="177"/>
      <c r="H537" s="177"/>
      <c r="I537" s="177"/>
      <c r="J537" s="177"/>
      <c r="K537" s="177"/>
      <c r="L537" s="177"/>
      <c r="M537" s="177"/>
      <c r="N537" s="177"/>
      <c r="O537" s="177"/>
      <c r="P537" s="177"/>
      <c r="Q537" s="151">
        <f t="shared" si="41"/>
        <v>0</v>
      </c>
      <c r="R537" s="706"/>
    </row>
    <row r="538" spans="1:18" ht="20.25" hidden="1" customHeight="1" x14ac:dyDescent="0.25">
      <c r="A538" s="172"/>
      <c r="B538" s="172"/>
      <c r="C538" s="188" t="s">
        <v>1072</v>
      </c>
      <c r="D538" s="365" t="s">
        <v>1073</v>
      </c>
      <c r="E538" s="200"/>
      <c r="F538" s="200">
        <v>162976</v>
      </c>
      <c r="G538" s="177"/>
      <c r="H538" s="177"/>
      <c r="I538" s="177"/>
      <c r="J538" s="177"/>
      <c r="K538" s="177"/>
      <c r="L538" s="177"/>
      <c r="M538" s="177"/>
      <c r="N538" s="177"/>
      <c r="O538" s="177"/>
      <c r="P538" s="177"/>
      <c r="Q538" s="151">
        <f t="shared" si="41"/>
        <v>0</v>
      </c>
      <c r="R538" s="706"/>
    </row>
    <row r="539" spans="1:18" ht="20.25" hidden="1" customHeight="1" x14ac:dyDescent="0.25">
      <c r="A539" s="172"/>
      <c r="B539" s="172"/>
      <c r="C539" s="571" t="s">
        <v>1074</v>
      </c>
      <c r="D539" s="286" t="s">
        <v>1075</v>
      </c>
      <c r="E539" s="200"/>
      <c r="F539" s="200">
        <v>162977</v>
      </c>
      <c r="G539" s="177"/>
      <c r="H539" s="177"/>
      <c r="I539" s="177"/>
      <c r="J539" s="177"/>
      <c r="K539" s="177"/>
      <c r="L539" s="177"/>
      <c r="M539" s="177"/>
      <c r="N539" s="177"/>
      <c r="O539" s="177"/>
      <c r="P539" s="177"/>
      <c r="Q539" s="151">
        <f t="shared" si="41"/>
        <v>0</v>
      </c>
      <c r="R539" s="706"/>
    </row>
    <row r="540" spans="1:18" ht="20.25" hidden="1" customHeight="1" x14ac:dyDescent="0.25">
      <c r="A540" s="172"/>
      <c r="B540" s="172"/>
      <c r="C540" s="188" t="s">
        <v>1076</v>
      </c>
      <c r="D540" s="151" t="s">
        <v>1077</v>
      </c>
      <c r="E540" s="200"/>
      <c r="F540" s="200">
        <v>162978</v>
      </c>
      <c r="G540" s="177"/>
      <c r="H540" s="177"/>
      <c r="I540" s="177"/>
      <c r="J540" s="177"/>
      <c r="K540" s="177"/>
      <c r="L540" s="177"/>
      <c r="M540" s="177"/>
      <c r="N540" s="177"/>
      <c r="O540" s="177"/>
      <c r="P540" s="177"/>
      <c r="Q540" s="151">
        <f t="shared" si="41"/>
        <v>0</v>
      </c>
      <c r="R540" s="706"/>
    </row>
    <row r="541" spans="1:18" ht="16.5" customHeight="1" x14ac:dyDescent="0.25">
      <c r="A541" s="172"/>
      <c r="B541" s="172"/>
      <c r="C541" s="188" t="s">
        <v>23</v>
      </c>
      <c r="D541" s="221" t="s">
        <v>704</v>
      </c>
      <c r="E541" s="200"/>
      <c r="F541" s="200"/>
      <c r="G541" s="177"/>
      <c r="H541" s="177"/>
      <c r="I541" s="177"/>
      <c r="J541" s="177"/>
      <c r="K541" s="177"/>
      <c r="L541" s="177"/>
      <c r="M541" s="177"/>
      <c r="N541" s="177"/>
      <c r="O541" s="177"/>
      <c r="P541" s="177"/>
      <c r="Q541" s="151"/>
      <c r="R541" s="706"/>
    </row>
    <row r="542" spans="1:18" ht="16.5" customHeight="1" x14ac:dyDescent="0.25">
      <c r="A542" s="172"/>
      <c r="B542" s="172"/>
      <c r="C542" s="172" t="s">
        <v>705</v>
      </c>
      <c r="D542" s="558" t="s">
        <v>1209</v>
      </c>
      <c r="E542" s="200"/>
      <c r="F542" s="200"/>
      <c r="G542" s="177"/>
      <c r="H542" s="177"/>
      <c r="I542" s="177"/>
      <c r="J542" s="177"/>
      <c r="K542" s="177"/>
      <c r="L542" s="177"/>
      <c r="M542" s="177"/>
      <c r="N542" s="177"/>
      <c r="O542" s="177"/>
      <c r="P542" s="177"/>
      <c r="Q542" s="151"/>
      <c r="R542" s="706"/>
    </row>
    <row r="543" spans="1:18" ht="24" customHeight="1" x14ac:dyDescent="0.25">
      <c r="A543" s="639"/>
      <c r="B543" s="639"/>
      <c r="C543" s="639" t="s">
        <v>1249</v>
      </c>
      <c r="D543" s="649" t="s">
        <v>1250</v>
      </c>
      <c r="E543" s="640"/>
      <c r="F543" s="653">
        <v>163657</v>
      </c>
      <c r="G543" s="648"/>
      <c r="H543" s="648"/>
      <c r="I543" s="648">
        <v>2019</v>
      </c>
      <c r="J543" s="648"/>
      <c r="K543" s="648"/>
      <c r="L543" s="648">
        <v>-2019</v>
      </c>
      <c r="M543" s="648"/>
      <c r="N543" s="648"/>
      <c r="O543" s="648"/>
      <c r="P543" s="648"/>
      <c r="Q543" s="151">
        <f t="shared" si="41"/>
        <v>0</v>
      </c>
      <c r="R543" s="706" t="s">
        <v>1294</v>
      </c>
    </row>
    <row r="544" spans="1:18" ht="16.5" hidden="1" customHeight="1" x14ac:dyDescent="0.25">
      <c r="A544" s="172"/>
      <c r="B544" s="172"/>
      <c r="C544" s="172"/>
      <c r="D544" s="370" t="s">
        <v>1026</v>
      </c>
      <c r="E544" s="200"/>
      <c r="F544" s="200"/>
      <c r="G544" s="177"/>
      <c r="H544" s="177"/>
      <c r="I544" s="177"/>
      <c r="J544" s="177"/>
      <c r="K544" s="177"/>
      <c r="L544" s="177"/>
      <c r="M544" s="177"/>
      <c r="N544" s="177"/>
      <c r="O544" s="177"/>
      <c r="P544" s="177"/>
      <c r="Q544" s="151"/>
      <c r="R544" s="706"/>
    </row>
    <row r="545" spans="1:18" ht="27" hidden="1" customHeight="1" x14ac:dyDescent="0.25">
      <c r="A545" s="172"/>
      <c r="B545" s="172"/>
      <c r="C545" s="284" t="s">
        <v>1117</v>
      </c>
      <c r="D545" s="540" t="s">
        <v>167</v>
      </c>
      <c r="E545" s="200"/>
      <c r="F545" s="200">
        <v>163606</v>
      </c>
      <c r="G545" s="177"/>
      <c r="H545" s="177"/>
      <c r="I545" s="177"/>
      <c r="J545" s="177"/>
      <c r="K545" s="177"/>
      <c r="L545" s="177"/>
      <c r="M545" s="177"/>
      <c r="N545" s="177"/>
      <c r="O545" s="177"/>
      <c r="P545" s="177"/>
      <c r="Q545" s="151">
        <f t="shared" ref="Q545:Q568" si="42">SUM(G545:P545)</f>
        <v>0</v>
      </c>
      <c r="R545" s="706"/>
    </row>
    <row r="546" spans="1:18" ht="63.75" hidden="1" customHeight="1" x14ac:dyDescent="0.25">
      <c r="A546" s="172"/>
      <c r="B546" s="172"/>
      <c r="C546" s="284" t="s">
        <v>1118</v>
      </c>
      <c r="D546" s="541" t="s">
        <v>170</v>
      </c>
      <c r="E546" s="200"/>
      <c r="F546" s="200">
        <v>163607</v>
      </c>
      <c r="G546" s="177"/>
      <c r="H546" s="177"/>
      <c r="I546" s="177"/>
      <c r="J546" s="177"/>
      <c r="K546" s="177"/>
      <c r="L546" s="177"/>
      <c r="M546" s="177"/>
      <c r="N546" s="177"/>
      <c r="O546" s="177"/>
      <c r="P546" s="177"/>
      <c r="Q546" s="151">
        <f t="shared" si="42"/>
        <v>0</v>
      </c>
      <c r="R546" s="706"/>
    </row>
    <row r="547" spans="1:18" ht="40.5" customHeight="1" x14ac:dyDescent="0.25">
      <c r="A547" s="172"/>
      <c r="B547" s="172"/>
      <c r="C547" s="284" t="s">
        <v>706</v>
      </c>
      <c r="D547" s="541" t="s">
        <v>164</v>
      </c>
      <c r="E547" s="200"/>
      <c r="F547" s="200">
        <v>163608</v>
      </c>
      <c r="G547" s="177"/>
      <c r="H547" s="177"/>
      <c r="I547" s="177">
        <v>2499</v>
      </c>
      <c r="J547" s="177"/>
      <c r="K547" s="177"/>
      <c r="L547" s="177">
        <v>9256</v>
      </c>
      <c r="M547" s="177"/>
      <c r="N547" s="177"/>
      <c r="O547" s="177"/>
      <c r="P547" s="177"/>
      <c r="Q547" s="151">
        <f t="shared" si="42"/>
        <v>11755</v>
      </c>
      <c r="R547" s="706" t="s">
        <v>1295</v>
      </c>
    </row>
    <row r="548" spans="1:18" ht="24.75" hidden="1" customHeight="1" x14ac:dyDescent="0.25">
      <c r="A548" s="172"/>
      <c r="B548" s="172"/>
      <c r="C548" s="284" t="s">
        <v>707</v>
      </c>
      <c r="D548" s="541" t="s">
        <v>172</v>
      </c>
      <c r="E548" s="200"/>
      <c r="F548" s="200">
        <v>163609</v>
      </c>
      <c r="G548" s="177"/>
      <c r="H548" s="177"/>
      <c r="I548" s="177"/>
      <c r="J548" s="177"/>
      <c r="K548" s="177"/>
      <c r="L548" s="177"/>
      <c r="M548" s="177"/>
      <c r="N548" s="177"/>
      <c r="O548" s="177"/>
      <c r="P548" s="177"/>
      <c r="Q548" s="151">
        <f t="shared" si="42"/>
        <v>0</v>
      </c>
      <c r="R548" s="706"/>
    </row>
    <row r="549" spans="1:18" ht="41.25" hidden="1" customHeight="1" x14ac:dyDescent="0.25">
      <c r="A549" s="172"/>
      <c r="B549" s="172"/>
      <c r="C549" s="616" t="s">
        <v>708</v>
      </c>
      <c r="D549" s="682" t="s">
        <v>168</v>
      </c>
      <c r="E549" s="200"/>
      <c r="F549" s="200">
        <v>163611</v>
      </c>
      <c r="G549" s="177"/>
      <c r="H549" s="177"/>
      <c r="I549" s="177"/>
      <c r="J549" s="177"/>
      <c r="K549" s="177"/>
      <c r="L549" s="177"/>
      <c r="M549" s="177"/>
      <c r="N549" s="177"/>
      <c r="O549" s="177"/>
      <c r="P549" s="177"/>
      <c r="Q549" s="151">
        <f t="shared" si="42"/>
        <v>0</v>
      </c>
      <c r="R549" s="706"/>
    </row>
    <row r="550" spans="1:18" ht="41.25" hidden="1" customHeight="1" x14ac:dyDescent="0.25">
      <c r="A550" s="507"/>
      <c r="B550" s="507"/>
      <c r="C550" s="507" t="s">
        <v>709</v>
      </c>
      <c r="D550" s="544" t="s">
        <v>1002</v>
      </c>
      <c r="E550" s="200"/>
      <c r="F550" s="200">
        <v>163652</v>
      </c>
      <c r="G550" s="177"/>
      <c r="H550" s="177"/>
      <c r="I550" s="177"/>
      <c r="J550" s="177"/>
      <c r="K550" s="177"/>
      <c r="L550" s="177"/>
      <c r="M550" s="177"/>
      <c r="N550" s="177"/>
      <c r="O550" s="177"/>
      <c r="P550" s="177"/>
      <c r="Q550" s="151">
        <f t="shared" si="42"/>
        <v>0</v>
      </c>
      <c r="R550" s="706"/>
    </row>
    <row r="551" spans="1:18" ht="38.25" hidden="1" customHeight="1" x14ac:dyDescent="0.25">
      <c r="A551" s="172"/>
      <c r="B551" s="172"/>
      <c r="C551" s="225" t="s">
        <v>710</v>
      </c>
      <c r="D551" s="683" t="s">
        <v>127</v>
      </c>
      <c r="E551" s="200"/>
      <c r="F551" s="200">
        <v>163612</v>
      </c>
      <c r="G551" s="177"/>
      <c r="H551" s="177"/>
      <c r="I551" s="177"/>
      <c r="J551" s="177"/>
      <c r="K551" s="177"/>
      <c r="L551" s="177"/>
      <c r="M551" s="177"/>
      <c r="N551" s="177"/>
      <c r="O551" s="177"/>
      <c r="P551" s="177"/>
      <c r="Q551" s="151">
        <f t="shared" si="42"/>
        <v>0</v>
      </c>
      <c r="R551" s="706"/>
    </row>
    <row r="552" spans="1:18" ht="41.25" customHeight="1" x14ac:dyDescent="0.25">
      <c r="A552" s="172"/>
      <c r="B552" s="172"/>
      <c r="C552" s="284" t="s">
        <v>711</v>
      </c>
      <c r="D552" s="683" t="s">
        <v>714</v>
      </c>
      <c r="E552" s="200"/>
      <c r="F552" s="200">
        <v>163613</v>
      </c>
      <c r="G552" s="177"/>
      <c r="H552" s="177"/>
      <c r="I552" s="177"/>
      <c r="J552" s="177"/>
      <c r="K552" s="177"/>
      <c r="L552" s="177">
        <v>-1621</v>
      </c>
      <c r="M552" s="177"/>
      <c r="N552" s="177"/>
      <c r="O552" s="177"/>
      <c r="P552" s="177"/>
      <c r="Q552" s="151">
        <f t="shared" si="42"/>
        <v>-1621</v>
      </c>
      <c r="R552" s="706" t="s">
        <v>1295</v>
      </c>
    </row>
    <row r="553" spans="1:18" ht="40.5" hidden="1" customHeight="1" x14ac:dyDescent="0.25">
      <c r="A553" s="172"/>
      <c r="B553" s="172"/>
      <c r="C553" s="284" t="s">
        <v>712</v>
      </c>
      <c r="D553" s="683" t="s">
        <v>165</v>
      </c>
      <c r="E553" s="200"/>
      <c r="F553" s="200">
        <v>163614</v>
      </c>
      <c r="G553" s="177"/>
      <c r="H553" s="177"/>
      <c r="I553" s="177"/>
      <c r="J553" s="177"/>
      <c r="K553" s="177"/>
      <c r="L553" s="177"/>
      <c r="M553" s="177"/>
      <c r="N553" s="177"/>
      <c r="O553" s="177"/>
      <c r="P553" s="177"/>
      <c r="Q553" s="151">
        <f t="shared" si="42"/>
        <v>0</v>
      </c>
      <c r="R553" s="706"/>
    </row>
    <row r="554" spans="1:18" ht="28.5" hidden="1" customHeight="1" x14ac:dyDescent="0.25">
      <c r="A554" s="172"/>
      <c r="B554" s="172"/>
      <c r="C554" s="284" t="s">
        <v>713</v>
      </c>
      <c r="D554" s="545" t="s">
        <v>169</v>
      </c>
      <c r="E554" s="200"/>
      <c r="F554" s="200">
        <v>163616</v>
      </c>
      <c r="G554" s="177"/>
      <c r="H554" s="177"/>
      <c r="I554" s="177"/>
      <c r="J554" s="177"/>
      <c r="K554" s="177"/>
      <c r="L554" s="177"/>
      <c r="M554" s="177"/>
      <c r="N554" s="177"/>
      <c r="O554" s="177"/>
      <c r="P554" s="177"/>
      <c r="Q554" s="151">
        <f t="shared" si="42"/>
        <v>0</v>
      </c>
      <c r="R554" s="706"/>
    </row>
    <row r="555" spans="1:18" ht="24" customHeight="1" x14ac:dyDescent="0.25">
      <c r="A555" s="172"/>
      <c r="B555" s="172"/>
      <c r="C555" s="284" t="s">
        <v>1119</v>
      </c>
      <c r="D555" s="545" t="s">
        <v>166</v>
      </c>
      <c r="E555" s="200"/>
      <c r="F555" s="200">
        <v>163623</v>
      </c>
      <c r="G555" s="177">
        <v>-2431</v>
      </c>
      <c r="H555" s="177">
        <v>-477</v>
      </c>
      <c r="I555" s="177"/>
      <c r="J555" s="177"/>
      <c r="K555" s="177"/>
      <c r="L555" s="177"/>
      <c r="M555" s="177"/>
      <c r="N555" s="177"/>
      <c r="O555" s="177"/>
      <c r="P555" s="177"/>
      <c r="Q555" s="151">
        <f t="shared" si="42"/>
        <v>-2908</v>
      </c>
      <c r="R555" s="706" t="s">
        <v>1295</v>
      </c>
    </row>
    <row r="556" spans="1:18" ht="24.75" hidden="1" customHeight="1" x14ac:dyDescent="0.25">
      <c r="A556" s="172"/>
      <c r="B556" s="172"/>
      <c r="C556" s="284" t="s">
        <v>715</v>
      </c>
      <c r="D556" s="193" t="s">
        <v>150</v>
      </c>
      <c r="E556" s="200"/>
      <c r="F556" s="200">
        <v>163625</v>
      </c>
      <c r="G556" s="177"/>
      <c r="H556" s="177"/>
      <c r="I556" s="177"/>
      <c r="J556" s="177"/>
      <c r="K556" s="177"/>
      <c r="L556" s="177"/>
      <c r="M556" s="177"/>
      <c r="N556" s="177"/>
      <c r="O556" s="177"/>
      <c r="P556" s="177"/>
      <c r="Q556" s="151">
        <f t="shared" si="42"/>
        <v>0</v>
      </c>
      <c r="R556" s="706"/>
    </row>
    <row r="557" spans="1:18" ht="24.75" hidden="1" customHeight="1" x14ac:dyDescent="0.25">
      <c r="A557" s="172"/>
      <c r="B557" s="172"/>
      <c r="C557" s="284" t="s">
        <v>1120</v>
      </c>
      <c r="D557" s="276" t="s">
        <v>151</v>
      </c>
      <c r="E557" s="200"/>
      <c r="F557" s="200">
        <v>163626</v>
      </c>
      <c r="G557" s="177"/>
      <c r="H557" s="177"/>
      <c r="I557" s="177"/>
      <c r="J557" s="177"/>
      <c r="K557" s="177"/>
      <c r="L557" s="177"/>
      <c r="M557" s="177"/>
      <c r="N557" s="177"/>
      <c r="O557" s="177"/>
      <c r="P557" s="177"/>
      <c r="Q557" s="151">
        <f t="shared" si="42"/>
        <v>0</v>
      </c>
      <c r="R557" s="706"/>
    </row>
    <row r="558" spans="1:18" ht="29.25" hidden="1" customHeight="1" x14ac:dyDescent="0.25">
      <c r="A558" s="172"/>
      <c r="B558" s="172"/>
      <c r="C558" s="284" t="s">
        <v>716</v>
      </c>
      <c r="D558" s="549" t="s">
        <v>171</v>
      </c>
      <c r="E558" s="200"/>
      <c r="F558" s="200">
        <v>163627</v>
      </c>
      <c r="G558" s="177"/>
      <c r="H558" s="177"/>
      <c r="I558" s="177"/>
      <c r="J558" s="177"/>
      <c r="K558" s="177"/>
      <c r="L558" s="177"/>
      <c r="M558" s="177"/>
      <c r="N558" s="177"/>
      <c r="O558" s="177"/>
      <c r="P558" s="177"/>
      <c r="Q558" s="151">
        <f t="shared" si="42"/>
        <v>0</v>
      </c>
      <c r="R558" s="706"/>
    </row>
    <row r="559" spans="1:18" ht="29.25" hidden="1" customHeight="1" x14ac:dyDescent="0.25">
      <c r="A559" s="172"/>
      <c r="B559" s="172"/>
      <c r="C559" s="284" t="s">
        <v>717</v>
      </c>
      <c r="D559" s="276" t="s">
        <v>725</v>
      </c>
      <c r="E559" s="200"/>
      <c r="F559" s="200">
        <v>163628</v>
      </c>
      <c r="G559" s="177"/>
      <c r="H559" s="177"/>
      <c r="I559" s="177"/>
      <c r="J559" s="177"/>
      <c r="K559" s="177"/>
      <c r="L559" s="177"/>
      <c r="M559" s="177"/>
      <c r="N559" s="177"/>
      <c r="O559" s="177"/>
      <c r="P559" s="177"/>
      <c r="Q559" s="151">
        <f t="shared" si="42"/>
        <v>0</v>
      </c>
      <c r="R559" s="706"/>
    </row>
    <row r="560" spans="1:18" ht="27" hidden="1" customHeight="1" x14ac:dyDescent="0.25">
      <c r="A560" s="172"/>
      <c r="B560" s="172"/>
      <c r="C560" s="284" t="s">
        <v>718</v>
      </c>
      <c r="D560" s="684" t="s">
        <v>723</v>
      </c>
      <c r="E560" s="200"/>
      <c r="F560" s="200">
        <v>163629</v>
      </c>
      <c r="G560" s="177"/>
      <c r="H560" s="177"/>
      <c r="I560" s="177"/>
      <c r="J560" s="177"/>
      <c r="K560" s="177"/>
      <c r="L560" s="177"/>
      <c r="M560" s="177"/>
      <c r="N560" s="177"/>
      <c r="O560" s="177"/>
      <c r="P560" s="177"/>
      <c r="Q560" s="151">
        <f t="shared" si="42"/>
        <v>0</v>
      </c>
      <c r="R560" s="706"/>
    </row>
    <row r="561" spans="1:18" ht="39.75" hidden="1" customHeight="1" x14ac:dyDescent="0.25">
      <c r="A561" s="172"/>
      <c r="B561" s="172"/>
      <c r="C561" s="284" t="s">
        <v>719</v>
      </c>
      <c r="D561" s="205" t="s">
        <v>111</v>
      </c>
      <c r="E561" s="200"/>
      <c r="F561" s="200">
        <v>163633</v>
      </c>
      <c r="G561" s="177"/>
      <c r="H561" s="177"/>
      <c r="I561" s="177"/>
      <c r="J561" s="177"/>
      <c r="K561" s="177"/>
      <c r="L561" s="177"/>
      <c r="M561" s="177"/>
      <c r="N561" s="177"/>
      <c r="O561" s="177"/>
      <c r="P561" s="177"/>
      <c r="Q561" s="151">
        <f t="shared" si="42"/>
        <v>0</v>
      </c>
      <c r="R561" s="706"/>
    </row>
    <row r="562" spans="1:18" ht="40.5" customHeight="1" x14ac:dyDescent="0.25">
      <c r="A562" s="172"/>
      <c r="B562" s="172"/>
      <c r="C562" s="284" t="s">
        <v>720</v>
      </c>
      <c r="D562" s="276" t="s">
        <v>936</v>
      </c>
      <c r="E562" s="200"/>
      <c r="F562" s="200">
        <v>163637</v>
      </c>
      <c r="G562" s="177"/>
      <c r="H562" s="177"/>
      <c r="I562" s="177"/>
      <c r="J562" s="177"/>
      <c r="K562" s="177"/>
      <c r="L562" s="177">
        <v>1621</v>
      </c>
      <c r="M562" s="177"/>
      <c r="N562" s="177"/>
      <c r="O562" s="177"/>
      <c r="P562" s="177"/>
      <c r="Q562" s="151">
        <f t="shared" si="42"/>
        <v>1621</v>
      </c>
      <c r="R562" s="706" t="s">
        <v>1295</v>
      </c>
    </row>
    <row r="563" spans="1:18" ht="29.25" hidden="1" customHeight="1" x14ac:dyDescent="0.25">
      <c r="A563" s="172"/>
      <c r="B563" s="172"/>
      <c r="C563" s="284" t="s">
        <v>721</v>
      </c>
      <c r="D563" s="205" t="s">
        <v>42</v>
      </c>
      <c r="E563" s="200"/>
      <c r="F563" s="200">
        <v>163638</v>
      </c>
      <c r="G563" s="177"/>
      <c r="H563" s="177"/>
      <c r="I563" s="177"/>
      <c r="J563" s="177"/>
      <c r="K563" s="177"/>
      <c r="L563" s="177"/>
      <c r="M563" s="177"/>
      <c r="N563" s="177"/>
      <c r="O563" s="177"/>
      <c r="P563" s="177"/>
      <c r="Q563" s="151">
        <f t="shared" si="42"/>
        <v>0</v>
      </c>
      <c r="R563" s="706"/>
    </row>
    <row r="564" spans="1:18" ht="32.25" hidden="1" customHeight="1" x14ac:dyDescent="0.25">
      <c r="A564" s="172"/>
      <c r="B564" s="172"/>
      <c r="C564" s="284" t="s">
        <v>722</v>
      </c>
      <c r="D564" s="205" t="s">
        <v>43</v>
      </c>
      <c r="E564" s="200"/>
      <c r="F564" s="200">
        <v>163639</v>
      </c>
      <c r="G564" s="177"/>
      <c r="H564" s="177"/>
      <c r="I564" s="177"/>
      <c r="J564" s="177"/>
      <c r="K564" s="177"/>
      <c r="L564" s="177"/>
      <c r="M564" s="177"/>
      <c r="N564" s="177"/>
      <c r="O564" s="177"/>
      <c r="P564" s="177"/>
      <c r="Q564" s="151">
        <f t="shared" si="42"/>
        <v>0</v>
      </c>
      <c r="R564" s="706"/>
    </row>
    <row r="565" spans="1:18" ht="30.75" hidden="1" customHeight="1" x14ac:dyDescent="0.25">
      <c r="A565" s="172"/>
      <c r="B565" s="172"/>
      <c r="C565" s="284" t="s">
        <v>724</v>
      </c>
      <c r="D565" s="205" t="s">
        <v>44</v>
      </c>
      <c r="E565" s="200"/>
      <c r="F565" s="200">
        <v>163640</v>
      </c>
      <c r="G565" s="177"/>
      <c r="H565" s="177"/>
      <c r="I565" s="177"/>
      <c r="J565" s="177"/>
      <c r="K565" s="177"/>
      <c r="L565" s="177"/>
      <c r="M565" s="177"/>
      <c r="N565" s="177"/>
      <c r="O565" s="177"/>
      <c r="P565" s="177"/>
      <c r="Q565" s="151">
        <f t="shared" si="42"/>
        <v>0</v>
      </c>
      <c r="R565" s="706"/>
    </row>
    <row r="566" spans="1:18" ht="30.75" hidden="1" customHeight="1" x14ac:dyDescent="0.25">
      <c r="A566" s="172"/>
      <c r="B566" s="172"/>
      <c r="C566" s="567" t="s">
        <v>726</v>
      </c>
      <c r="D566" s="631" t="s">
        <v>937</v>
      </c>
      <c r="E566" s="200"/>
      <c r="F566" s="200">
        <v>163648</v>
      </c>
      <c r="G566" s="177"/>
      <c r="H566" s="177"/>
      <c r="I566" s="177"/>
      <c r="J566" s="177"/>
      <c r="K566" s="177"/>
      <c r="L566" s="177"/>
      <c r="M566" s="177"/>
      <c r="N566" s="177"/>
      <c r="O566" s="177"/>
      <c r="P566" s="177"/>
      <c r="Q566" s="151">
        <f t="shared" si="42"/>
        <v>0</v>
      </c>
      <c r="R566" s="706"/>
    </row>
    <row r="567" spans="1:18" ht="35.25" hidden="1" customHeight="1" x14ac:dyDescent="0.25">
      <c r="A567" s="172"/>
      <c r="B567" s="172"/>
      <c r="C567" s="630" t="s">
        <v>727</v>
      </c>
      <c r="D567" s="632" t="s">
        <v>935</v>
      </c>
      <c r="E567" s="574"/>
      <c r="F567" s="200">
        <v>163653</v>
      </c>
      <c r="G567" s="177"/>
      <c r="H567" s="177"/>
      <c r="I567" s="177"/>
      <c r="J567" s="177"/>
      <c r="K567" s="177"/>
      <c r="L567" s="177"/>
      <c r="M567" s="177"/>
      <c r="N567" s="177"/>
      <c r="O567" s="177"/>
      <c r="P567" s="177"/>
      <c r="Q567" s="151">
        <f t="shared" si="42"/>
        <v>0</v>
      </c>
      <c r="R567" s="706"/>
    </row>
    <row r="568" spans="1:18" ht="21" hidden="1" customHeight="1" x14ac:dyDescent="0.25">
      <c r="A568" s="172"/>
      <c r="B568" s="172"/>
      <c r="C568" s="568" t="s">
        <v>728</v>
      </c>
      <c r="D568" s="633" t="s">
        <v>729</v>
      </c>
      <c r="E568" s="200"/>
      <c r="F568" s="200">
        <v>162630</v>
      </c>
      <c r="G568" s="177"/>
      <c r="H568" s="177"/>
      <c r="I568" s="177"/>
      <c r="J568" s="177"/>
      <c r="K568" s="177"/>
      <c r="L568" s="177"/>
      <c r="M568" s="177"/>
      <c r="N568" s="177"/>
      <c r="O568" s="177"/>
      <c r="P568" s="177"/>
      <c r="Q568" s="151">
        <f t="shared" si="42"/>
        <v>0</v>
      </c>
      <c r="R568" s="706"/>
    </row>
    <row r="569" spans="1:18" ht="16.5" customHeight="1" x14ac:dyDescent="0.25">
      <c r="A569" s="172"/>
      <c r="B569" s="172"/>
      <c r="C569" s="283" t="s">
        <v>730</v>
      </c>
      <c r="D569" s="569" t="s">
        <v>731</v>
      </c>
      <c r="E569" s="200"/>
      <c r="F569" s="200"/>
      <c r="G569" s="177"/>
      <c r="H569" s="177"/>
      <c r="I569" s="177"/>
      <c r="J569" s="177"/>
      <c r="K569" s="177"/>
      <c r="L569" s="177"/>
      <c r="M569" s="177"/>
      <c r="N569" s="177"/>
      <c r="O569" s="177"/>
      <c r="P569" s="177"/>
      <c r="Q569" s="151"/>
      <c r="R569" s="706"/>
    </row>
    <row r="570" spans="1:18" ht="16.5" customHeight="1" x14ac:dyDescent="0.25">
      <c r="A570" s="172"/>
      <c r="B570" s="172"/>
      <c r="C570" s="284"/>
      <c r="D570" s="186" t="s">
        <v>1026</v>
      </c>
      <c r="E570" s="200"/>
      <c r="F570" s="200"/>
      <c r="G570" s="177"/>
      <c r="H570" s="177"/>
      <c r="I570" s="177"/>
      <c r="J570" s="177"/>
      <c r="K570" s="177"/>
      <c r="L570" s="177"/>
      <c r="M570" s="177"/>
      <c r="N570" s="177"/>
      <c r="O570" s="177"/>
      <c r="P570" s="177"/>
      <c r="Q570" s="151"/>
      <c r="R570" s="706"/>
    </row>
    <row r="571" spans="1:18" ht="34.5" customHeight="1" x14ac:dyDescent="0.25">
      <c r="A571" s="172"/>
      <c r="B571" s="172"/>
      <c r="C571" s="284" t="s">
        <v>732</v>
      </c>
      <c r="D571" s="276" t="s">
        <v>733</v>
      </c>
      <c r="E571" s="200"/>
      <c r="F571" s="200">
        <v>163621</v>
      </c>
      <c r="G571" s="177"/>
      <c r="H571" s="177"/>
      <c r="I571" s="177">
        <v>-89000</v>
      </c>
      <c r="J571" s="177"/>
      <c r="K571" s="177"/>
      <c r="L571" s="177">
        <v>71914</v>
      </c>
      <c r="M571" s="177">
        <v>23042</v>
      </c>
      <c r="N571" s="177"/>
      <c r="O571" s="177"/>
      <c r="P571" s="177"/>
      <c r="Q571" s="151">
        <f t="shared" ref="Q571:Q579" si="43">SUM(G571:P571)</f>
        <v>5956</v>
      </c>
      <c r="R571" s="706" t="s">
        <v>1295</v>
      </c>
    </row>
    <row r="572" spans="1:18" ht="16.5" hidden="1" customHeight="1" x14ac:dyDescent="0.25">
      <c r="A572" s="172"/>
      <c r="B572" s="172"/>
      <c r="C572" s="284" t="s">
        <v>734</v>
      </c>
      <c r="D572" s="185" t="s">
        <v>735</v>
      </c>
      <c r="E572" s="200"/>
      <c r="F572" s="200">
        <v>162687</v>
      </c>
      <c r="G572" s="177"/>
      <c r="H572" s="177"/>
      <c r="I572" s="177"/>
      <c r="J572" s="177"/>
      <c r="K572" s="177"/>
      <c r="L572" s="177"/>
      <c r="M572" s="177"/>
      <c r="N572" s="177"/>
      <c r="O572" s="177"/>
      <c r="P572" s="177"/>
      <c r="Q572" s="151">
        <f t="shared" si="43"/>
        <v>0</v>
      </c>
      <c r="R572" s="706"/>
    </row>
    <row r="573" spans="1:18" ht="27.75" hidden="1" customHeight="1" x14ac:dyDescent="0.25">
      <c r="A573" s="172"/>
      <c r="B573" s="172"/>
      <c r="C573" s="284" t="s">
        <v>736</v>
      </c>
      <c r="D573" s="276" t="s">
        <v>737</v>
      </c>
      <c r="E573" s="200"/>
      <c r="F573" s="200">
        <v>163702</v>
      </c>
      <c r="G573" s="177"/>
      <c r="H573" s="177"/>
      <c r="I573" s="177"/>
      <c r="J573" s="177"/>
      <c r="K573" s="177"/>
      <c r="L573" s="177"/>
      <c r="M573" s="177"/>
      <c r="N573" s="177"/>
      <c r="O573" s="177"/>
      <c r="P573" s="177"/>
      <c r="Q573" s="151">
        <f t="shared" si="43"/>
        <v>0</v>
      </c>
      <c r="R573" s="706"/>
    </row>
    <row r="574" spans="1:18" ht="27.75" hidden="1" customHeight="1" x14ac:dyDescent="0.25">
      <c r="A574" s="172"/>
      <c r="B574" s="172"/>
      <c r="C574" s="284" t="s">
        <v>738</v>
      </c>
      <c r="D574" s="276" t="s">
        <v>740</v>
      </c>
      <c r="E574" s="200"/>
      <c r="F574" s="200">
        <v>163641</v>
      </c>
      <c r="G574" s="177"/>
      <c r="H574" s="177"/>
      <c r="I574" s="177"/>
      <c r="J574" s="177"/>
      <c r="K574" s="177"/>
      <c r="L574" s="177"/>
      <c r="M574" s="177"/>
      <c r="N574" s="177"/>
      <c r="O574" s="177"/>
      <c r="P574" s="177"/>
      <c r="Q574" s="151">
        <f t="shared" si="43"/>
        <v>0</v>
      </c>
      <c r="R574" s="706"/>
    </row>
    <row r="575" spans="1:18" ht="27.75" hidden="1" customHeight="1" x14ac:dyDescent="0.25">
      <c r="A575" s="172"/>
      <c r="B575" s="172"/>
      <c r="C575" s="284" t="s">
        <v>739</v>
      </c>
      <c r="D575" s="545" t="s">
        <v>742</v>
      </c>
      <c r="E575" s="200"/>
      <c r="F575" s="200">
        <v>163644</v>
      </c>
      <c r="G575" s="177"/>
      <c r="H575" s="177"/>
      <c r="I575" s="177"/>
      <c r="J575" s="177"/>
      <c r="K575" s="177"/>
      <c r="L575" s="177"/>
      <c r="M575" s="177"/>
      <c r="N575" s="177"/>
      <c r="O575" s="177"/>
      <c r="P575" s="177"/>
      <c r="Q575" s="151">
        <f t="shared" si="43"/>
        <v>0</v>
      </c>
      <c r="R575" s="706"/>
    </row>
    <row r="576" spans="1:18" ht="27.75" customHeight="1" x14ac:dyDescent="0.25">
      <c r="A576" s="172"/>
      <c r="B576" s="172"/>
      <c r="C576" s="284" t="s">
        <v>741</v>
      </c>
      <c r="D576" s="205" t="s">
        <v>879</v>
      </c>
      <c r="E576" s="200"/>
      <c r="F576" s="200">
        <v>163650</v>
      </c>
      <c r="G576" s="177"/>
      <c r="H576" s="177"/>
      <c r="I576" s="177">
        <v>9807</v>
      </c>
      <c r="J576" s="177"/>
      <c r="K576" s="177"/>
      <c r="L576" s="177"/>
      <c r="M576" s="177"/>
      <c r="N576" s="177"/>
      <c r="O576" s="177"/>
      <c r="P576" s="177"/>
      <c r="Q576" s="151">
        <f t="shared" si="43"/>
        <v>9807</v>
      </c>
      <c r="R576" s="706" t="s">
        <v>1295</v>
      </c>
    </row>
    <row r="577" spans="1:18" ht="20.25" customHeight="1" x14ac:dyDescent="0.25">
      <c r="A577" s="172"/>
      <c r="B577" s="172"/>
      <c r="C577" s="283" t="s">
        <v>743</v>
      </c>
      <c r="D577" s="415" t="s">
        <v>744</v>
      </c>
      <c r="E577" s="200"/>
      <c r="F577" s="200"/>
      <c r="G577" s="177"/>
      <c r="H577" s="177"/>
      <c r="I577" s="177"/>
      <c r="J577" s="177"/>
      <c r="K577" s="177"/>
      <c r="L577" s="177"/>
      <c r="M577" s="177"/>
      <c r="N577" s="177"/>
      <c r="O577" s="177"/>
      <c r="P577" s="177"/>
      <c r="Q577" s="151"/>
      <c r="R577" s="706"/>
    </row>
    <row r="578" spans="1:18" ht="26.25" customHeight="1" x14ac:dyDescent="0.25">
      <c r="A578" s="172"/>
      <c r="B578" s="172"/>
      <c r="C578" s="284" t="s">
        <v>1078</v>
      </c>
      <c r="D578" s="554" t="s">
        <v>1079</v>
      </c>
      <c r="E578" s="555"/>
      <c r="F578" s="803" t="s">
        <v>1313</v>
      </c>
      <c r="G578" s="556">
        <v>-9500</v>
      </c>
      <c r="H578" s="556">
        <v>-1500</v>
      </c>
      <c r="I578" s="556">
        <v>369552</v>
      </c>
      <c r="J578" s="556"/>
      <c r="K578" s="556"/>
      <c r="L578" s="556">
        <v>-356019</v>
      </c>
      <c r="M578" s="556"/>
      <c r="N578" s="556"/>
      <c r="O578" s="556"/>
      <c r="P578" s="556"/>
      <c r="Q578" s="268">
        <f t="shared" si="43"/>
        <v>2533</v>
      </c>
      <c r="R578" s="706" t="s">
        <v>1294</v>
      </c>
    </row>
    <row r="579" spans="1:18" ht="26.25" hidden="1" customHeight="1" x14ac:dyDescent="0.25">
      <c r="A579" s="172"/>
      <c r="B579" s="172"/>
      <c r="C579" s="284" t="s">
        <v>1080</v>
      </c>
      <c r="D579" s="554" t="s">
        <v>1082</v>
      </c>
      <c r="E579" s="555"/>
      <c r="F579" s="555">
        <v>163656</v>
      </c>
      <c r="G579" s="556"/>
      <c r="H579" s="556"/>
      <c r="I579" s="556"/>
      <c r="J579" s="556"/>
      <c r="K579" s="556"/>
      <c r="L579" s="556"/>
      <c r="M579" s="556"/>
      <c r="N579" s="556"/>
      <c r="O579" s="556"/>
      <c r="P579" s="556"/>
      <c r="Q579" s="268">
        <f t="shared" si="43"/>
        <v>0</v>
      </c>
      <c r="R579" s="706"/>
    </row>
    <row r="580" spans="1:18" ht="18.75" hidden="1" customHeight="1" x14ac:dyDescent="0.25">
      <c r="A580" s="172"/>
      <c r="B580" s="172"/>
      <c r="C580" s="283"/>
      <c r="D580" s="186" t="s">
        <v>1026</v>
      </c>
      <c r="E580" s="200"/>
      <c r="F580" s="200"/>
      <c r="G580" s="177"/>
      <c r="H580" s="177"/>
      <c r="I580" s="177"/>
      <c r="J580" s="177"/>
      <c r="K580" s="177"/>
      <c r="L580" s="177"/>
      <c r="M580" s="177"/>
      <c r="N580" s="177"/>
      <c r="O580" s="177"/>
      <c r="P580" s="177"/>
      <c r="Q580" s="151"/>
      <c r="R580" s="706"/>
    </row>
    <row r="581" spans="1:18" ht="18" hidden="1" customHeight="1" x14ac:dyDescent="0.25">
      <c r="A581" s="172"/>
      <c r="B581" s="172"/>
      <c r="C581" s="284" t="s">
        <v>745</v>
      </c>
      <c r="D581" s="276" t="s">
        <v>0</v>
      </c>
      <c r="E581" s="200"/>
      <c r="F581" s="200">
        <v>163643</v>
      </c>
      <c r="G581" s="177"/>
      <c r="H581" s="177"/>
      <c r="I581" s="177"/>
      <c r="J581" s="177"/>
      <c r="K581" s="177"/>
      <c r="L581" s="177"/>
      <c r="M581" s="177"/>
      <c r="N581" s="177"/>
      <c r="O581" s="177"/>
      <c r="P581" s="177"/>
      <c r="Q581" s="151">
        <f t="shared" ref="Q581:Q586" si="44">SUM(G581:P581)</f>
        <v>0</v>
      </c>
      <c r="R581" s="706"/>
    </row>
    <row r="582" spans="1:18" ht="27.6" hidden="1" customHeight="1" x14ac:dyDescent="0.25">
      <c r="A582" s="172"/>
      <c r="B582" s="172"/>
      <c r="C582" s="284" t="s">
        <v>746</v>
      </c>
      <c r="D582" s="276" t="s">
        <v>747</v>
      </c>
      <c r="E582" s="200"/>
      <c r="F582" s="200">
        <v>163645</v>
      </c>
      <c r="G582" s="177"/>
      <c r="H582" s="177"/>
      <c r="I582" s="177"/>
      <c r="J582" s="177"/>
      <c r="K582" s="177"/>
      <c r="L582" s="177"/>
      <c r="M582" s="177"/>
      <c r="N582" s="177"/>
      <c r="O582" s="177"/>
      <c r="P582" s="177"/>
      <c r="Q582" s="151">
        <f t="shared" si="44"/>
        <v>0</v>
      </c>
      <c r="R582" s="706"/>
    </row>
    <row r="583" spans="1:18" ht="17.25" hidden="1" customHeight="1" x14ac:dyDescent="0.25">
      <c r="A583" s="172"/>
      <c r="B583" s="172"/>
      <c r="C583" s="284" t="s">
        <v>748</v>
      </c>
      <c r="D583" s="276" t="s">
        <v>204</v>
      </c>
      <c r="E583" s="200"/>
      <c r="F583" s="200">
        <v>162607</v>
      </c>
      <c r="G583" s="177"/>
      <c r="H583" s="177"/>
      <c r="I583" s="177"/>
      <c r="J583" s="177"/>
      <c r="K583" s="177"/>
      <c r="L583" s="177"/>
      <c r="M583" s="177"/>
      <c r="N583" s="177"/>
      <c r="O583" s="177"/>
      <c r="P583" s="177"/>
      <c r="Q583" s="151">
        <f t="shared" si="44"/>
        <v>0</v>
      </c>
      <c r="R583" s="706"/>
    </row>
    <row r="584" spans="1:18" ht="20.25" hidden="1" customHeight="1" x14ac:dyDescent="0.25">
      <c r="A584" s="172"/>
      <c r="B584" s="172"/>
      <c r="C584" s="284" t="s">
        <v>993</v>
      </c>
      <c r="D584" s="276" t="s">
        <v>1081</v>
      </c>
      <c r="E584" s="200"/>
      <c r="F584" s="200">
        <v>163655</v>
      </c>
      <c r="G584" s="177"/>
      <c r="H584" s="177"/>
      <c r="I584" s="177"/>
      <c r="J584" s="177"/>
      <c r="K584" s="177"/>
      <c r="L584" s="177"/>
      <c r="M584" s="177"/>
      <c r="N584" s="177"/>
      <c r="O584" s="177"/>
      <c r="P584" s="177"/>
      <c r="Q584" s="151">
        <f t="shared" si="44"/>
        <v>0</v>
      </c>
      <c r="R584" s="706"/>
    </row>
    <row r="585" spans="1:18" ht="15.6" hidden="1" customHeight="1" x14ac:dyDescent="0.25">
      <c r="A585" s="172"/>
      <c r="B585" s="172"/>
      <c r="C585" s="284" t="s">
        <v>994</v>
      </c>
      <c r="D585" s="276" t="s">
        <v>753</v>
      </c>
      <c r="E585" s="200"/>
      <c r="F585" s="200">
        <v>162640</v>
      </c>
      <c r="G585" s="177"/>
      <c r="H585" s="177"/>
      <c r="I585" s="177"/>
      <c r="J585" s="177"/>
      <c r="K585" s="177"/>
      <c r="L585" s="177"/>
      <c r="M585" s="177"/>
      <c r="N585" s="177"/>
      <c r="O585" s="177"/>
      <c r="P585" s="177"/>
      <c r="Q585" s="151">
        <f t="shared" si="44"/>
        <v>0</v>
      </c>
      <c r="R585" s="706"/>
    </row>
    <row r="586" spans="1:18" ht="17.399999999999999" hidden="1" customHeight="1" x14ac:dyDescent="0.25">
      <c r="A586" s="172"/>
      <c r="B586" s="172"/>
      <c r="C586" s="284" t="s">
        <v>995</v>
      </c>
      <c r="D586" s="193" t="s">
        <v>880</v>
      </c>
      <c r="E586" s="200"/>
      <c r="F586" s="200">
        <v>163651</v>
      </c>
      <c r="G586" s="177"/>
      <c r="H586" s="177"/>
      <c r="I586" s="177"/>
      <c r="J586" s="177"/>
      <c r="K586" s="177"/>
      <c r="L586" s="177"/>
      <c r="M586" s="177"/>
      <c r="N586" s="177"/>
      <c r="O586" s="177"/>
      <c r="P586" s="177"/>
      <c r="Q586" s="151">
        <f t="shared" si="44"/>
        <v>0</v>
      </c>
      <c r="R586" s="706"/>
    </row>
    <row r="587" spans="1:18" ht="18.75" customHeight="1" x14ac:dyDescent="0.25">
      <c r="A587" s="172"/>
      <c r="B587" s="172"/>
      <c r="C587" s="285" t="s">
        <v>749</v>
      </c>
      <c r="D587" s="634" t="s">
        <v>750</v>
      </c>
      <c r="E587" s="200"/>
      <c r="F587" s="200"/>
      <c r="G587" s="177"/>
      <c r="H587" s="177"/>
      <c r="I587" s="177"/>
      <c r="J587" s="177"/>
      <c r="K587" s="177"/>
      <c r="L587" s="177"/>
      <c r="M587" s="177"/>
      <c r="N587" s="177"/>
      <c r="O587" s="177"/>
      <c r="P587" s="177"/>
      <c r="Q587" s="151"/>
      <c r="R587" s="706"/>
    </row>
    <row r="588" spans="1:18" ht="19.5" hidden="1" customHeight="1" x14ac:dyDescent="0.25">
      <c r="A588" s="172"/>
      <c r="B588" s="172"/>
      <c r="C588" s="172" t="s">
        <v>751</v>
      </c>
      <c r="D588" s="635" t="s">
        <v>938</v>
      </c>
      <c r="E588" s="286"/>
      <c r="F588" s="638">
        <v>162612</v>
      </c>
      <c r="G588" s="151"/>
      <c r="H588" s="151"/>
      <c r="I588" s="151"/>
      <c r="J588" s="151"/>
      <c r="K588" s="151"/>
      <c r="L588" s="151"/>
      <c r="M588" s="151"/>
      <c r="N588" s="151"/>
      <c r="O588" s="151"/>
      <c r="P588" s="151"/>
      <c r="Q588" s="151">
        <f t="shared" ref="Q588:Q593" si="45">SUM(G588:P588)</f>
        <v>0</v>
      </c>
      <c r="R588" s="706"/>
    </row>
    <row r="589" spans="1:18" ht="18" hidden="1" customHeight="1" x14ac:dyDescent="0.25">
      <c r="A589" s="172"/>
      <c r="B589" s="172"/>
      <c r="C589" s="172" t="s">
        <v>752</v>
      </c>
      <c r="D589" s="635" t="s">
        <v>939</v>
      </c>
      <c r="E589" s="286"/>
      <c r="F589" s="638">
        <v>162613</v>
      </c>
      <c r="G589" s="151"/>
      <c r="H589" s="151"/>
      <c r="I589" s="151"/>
      <c r="J589" s="151"/>
      <c r="K589" s="151"/>
      <c r="L589" s="151"/>
      <c r="M589" s="151"/>
      <c r="N589" s="151"/>
      <c r="O589" s="151"/>
      <c r="P589" s="151"/>
      <c r="Q589" s="151">
        <f t="shared" si="45"/>
        <v>0</v>
      </c>
      <c r="R589" s="706"/>
    </row>
    <row r="590" spans="1:18" ht="22.5" hidden="1" customHeight="1" x14ac:dyDescent="0.25">
      <c r="A590" s="172"/>
      <c r="B590" s="172"/>
      <c r="C590" s="188" t="s">
        <v>996</v>
      </c>
      <c r="D590" s="193" t="s">
        <v>754</v>
      </c>
      <c r="E590" s="200"/>
      <c r="F590" s="200">
        <v>162633</v>
      </c>
      <c r="G590" s="177"/>
      <c r="H590" s="177"/>
      <c r="I590" s="177"/>
      <c r="J590" s="177"/>
      <c r="K590" s="177"/>
      <c r="L590" s="177"/>
      <c r="M590" s="177"/>
      <c r="N590" s="177"/>
      <c r="O590" s="177"/>
      <c r="P590" s="177"/>
      <c r="Q590" s="151">
        <f t="shared" si="45"/>
        <v>0</v>
      </c>
      <c r="R590" s="706"/>
    </row>
    <row r="591" spans="1:18" ht="27" customHeight="1" x14ac:dyDescent="0.25">
      <c r="A591" s="172"/>
      <c r="B591" s="172"/>
      <c r="C591" s="188" t="s">
        <v>997</v>
      </c>
      <c r="D591" s="193" t="s">
        <v>755</v>
      </c>
      <c r="E591" s="200"/>
      <c r="F591" s="200">
        <v>163631</v>
      </c>
      <c r="G591" s="177"/>
      <c r="H591" s="177"/>
      <c r="I591" s="177"/>
      <c r="J591" s="177"/>
      <c r="K591" s="177"/>
      <c r="L591" s="177">
        <v>-11755</v>
      </c>
      <c r="M591" s="177"/>
      <c r="N591" s="177"/>
      <c r="O591" s="177"/>
      <c r="P591" s="177"/>
      <c r="Q591" s="151">
        <f t="shared" si="45"/>
        <v>-11755</v>
      </c>
      <c r="R591" s="706" t="s">
        <v>1295</v>
      </c>
    </row>
    <row r="592" spans="1:18" ht="30.75" hidden="1" customHeight="1" x14ac:dyDescent="0.25">
      <c r="A592" s="172"/>
      <c r="B592" s="172"/>
      <c r="C592" s="188" t="s">
        <v>998</v>
      </c>
      <c r="D592" s="193" t="s">
        <v>940</v>
      </c>
      <c r="E592" s="200"/>
      <c r="F592" s="200">
        <v>163647</v>
      </c>
      <c r="G592" s="177"/>
      <c r="H592" s="177"/>
      <c r="I592" s="177"/>
      <c r="J592" s="177"/>
      <c r="K592" s="177"/>
      <c r="L592" s="177"/>
      <c r="M592" s="177"/>
      <c r="N592" s="177"/>
      <c r="O592" s="177"/>
      <c r="P592" s="177"/>
      <c r="Q592" s="151">
        <f>SUM(G592:P592)</f>
        <v>0</v>
      </c>
      <c r="R592" s="706"/>
    </row>
    <row r="593" spans="1:18" ht="21" hidden="1" customHeight="1" x14ac:dyDescent="0.25">
      <c r="A593" s="172"/>
      <c r="B593" s="172"/>
      <c r="C593" s="188" t="s">
        <v>999</v>
      </c>
      <c r="D593" s="416" t="s">
        <v>941</v>
      </c>
      <c r="E593" s="247"/>
      <c r="F593" s="200">
        <v>162695</v>
      </c>
      <c r="G593" s="177"/>
      <c r="H593" s="177"/>
      <c r="I593" s="177"/>
      <c r="J593" s="177"/>
      <c r="K593" s="177"/>
      <c r="L593" s="177"/>
      <c r="M593" s="177"/>
      <c r="N593" s="177"/>
      <c r="O593" s="177"/>
      <c r="P593" s="177"/>
      <c r="Q593" s="151">
        <f t="shared" si="45"/>
        <v>0</v>
      </c>
      <c r="R593" s="706"/>
    </row>
    <row r="594" spans="1:18" ht="14.1" customHeight="1" x14ac:dyDescent="0.25">
      <c r="A594" s="417"/>
      <c r="B594" s="417"/>
      <c r="C594" s="418"/>
      <c r="D594" s="419" t="s">
        <v>756</v>
      </c>
      <c r="E594" s="420"/>
      <c r="F594" s="421"/>
      <c r="G594" s="422">
        <f t="shared" ref="G594:Q594" si="46">SUM(G470:G593)</f>
        <v>-11931</v>
      </c>
      <c r="H594" s="422">
        <f t="shared" si="46"/>
        <v>-1977</v>
      </c>
      <c r="I594" s="422">
        <f t="shared" si="46"/>
        <v>323944</v>
      </c>
      <c r="J594" s="422">
        <f t="shared" si="46"/>
        <v>0</v>
      </c>
      <c r="K594" s="422">
        <f t="shared" si="46"/>
        <v>1150</v>
      </c>
      <c r="L594" s="422">
        <f t="shared" si="46"/>
        <v>-538000</v>
      </c>
      <c r="M594" s="422">
        <f t="shared" si="46"/>
        <v>247206</v>
      </c>
      <c r="N594" s="422">
        <f t="shared" si="46"/>
        <v>600</v>
      </c>
      <c r="O594" s="422">
        <f t="shared" si="46"/>
        <v>0</v>
      </c>
      <c r="P594" s="422">
        <f t="shared" si="46"/>
        <v>0</v>
      </c>
      <c r="Q594" s="422">
        <f t="shared" si="46"/>
        <v>20992</v>
      </c>
      <c r="R594" s="707"/>
    </row>
    <row r="595" spans="1:18" ht="15" customHeight="1" x14ac:dyDescent="0.25">
      <c r="A595" s="172">
        <v>1</v>
      </c>
      <c r="B595" s="172">
        <v>17</v>
      </c>
      <c r="C595" s="188"/>
      <c r="D595" s="221" t="s">
        <v>757</v>
      </c>
      <c r="E595" s="200"/>
      <c r="F595" s="151"/>
      <c r="G595" s="151"/>
      <c r="H595" s="177"/>
      <c r="I595" s="177"/>
      <c r="J595" s="177"/>
      <c r="K595" s="177"/>
      <c r="L595" s="177"/>
      <c r="M595" s="151"/>
      <c r="N595" s="151"/>
      <c r="O595" s="151"/>
      <c r="P595" s="151"/>
      <c r="Q595" s="151"/>
      <c r="R595" s="706"/>
    </row>
    <row r="596" spans="1:18" ht="15" customHeight="1" x14ac:dyDescent="0.25">
      <c r="A596" s="172"/>
      <c r="B596" s="172"/>
      <c r="C596" s="188"/>
      <c r="D596" s="189" t="s">
        <v>225</v>
      </c>
      <c r="E596" s="204"/>
      <c r="F596" s="183"/>
      <c r="G596" s="151"/>
      <c r="H596" s="177"/>
      <c r="I596" s="177"/>
      <c r="J596" s="177"/>
      <c r="K596" s="177"/>
      <c r="L596" s="177"/>
      <c r="M596" s="151"/>
      <c r="N596" s="151"/>
      <c r="O596" s="151"/>
      <c r="P596" s="151"/>
      <c r="Q596" s="151"/>
      <c r="R596" s="706"/>
    </row>
    <row r="597" spans="1:18" ht="15" hidden="1" customHeight="1" x14ac:dyDescent="0.25">
      <c r="A597" s="172"/>
      <c r="B597" s="172"/>
      <c r="C597" s="188"/>
      <c r="D597" s="186" t="s">
        <v>758</v>
      </c>
      <c r="E597" s="151">
        <v>1</v>
      </c>
      <c r="F597" s="151">
        <v>171905</v>
      </c>
      <c r="G597" s="151"/>
      <c r="H597" s="151"/>
      <c r="I597" s="151"/>
      <c r="J597" s="151"/>
      <c r="K597" s="151"/>
      <c r="L597" s="151"/>
      <c r="M597" s="151"/>
      <c r="N597" s="151"/>
      <c r="O597" s="151"/>
      <c r="P597" s="151"/>
      <c r="Q597" s="151">
        <f t="shared" ref="Q597:Q606" si="47">SUM(G597:P597)</f>
        <v>0</v>
      </c>
      <c r="R597" s="706"/>
    </row>
    <row r="598" spans="1:18" ht="15" hidden="1" customHeight="1" x14ac:dyDescent="0.25">
      <c r="A598" s="172"/>
      <c r="B598" s="172"/>
      <c r="C598" s="188"/>
      <c r="D598" s="186" t="s">
        <v>759</v>
      </c>
      <c r="E598" s="151">
        <v>1</v>
      </c>
      <c r="F598" s="151">
        <v>171903</v>
      </c>
      <c r="G598" s="151"/>
      <c r="H598" s="151"/>
      <c r="I598" s="151"/>
      <c r="J598" s="151"/>
      <c r="K598" s="151"/>
      <c r="L598" s="151"/>
      <c r="M598" s="151"/>
      <c r="N598" s="151"/>
      <c r="O598" s="151"/>
      <c r="P598" s="151"/>
      <c r="Q598" s="151">
        <f t="shared" si="47"/>
        <v>0</v>
      </c>
      <c r="R598" s="706"/>
    </row>
    <row r="599" spans="1:18" ht="15" hidden="1" customHeight="1" x14ac:dyDescent="0.25">
      <c r="A599" s="172"/>
      <c r="B599" s="172"/>
      <c r="C599" s="188"/>
      <c r="D599" s="186" t="s">
        <v>760</v>
      </c>
      <c r="E599" s="183">
        <v>1</v>
      </c>
      <c r="F599" s="151">
        <v>171920</v>
      </c>
      <c r="G599" s="151"/>
      <c r="H599" s="151"/>
      <c r="I599" s="151"/>
      <c r="J599" s="151"/>
      <c r="K599" s="151"/>
      <c r="L599" s="151"/>
      <c r="M599" s="151"/>
      <c r="N599" s="151"/>
      <c r="O599" s="151"/>
      <c r="P599" s="151"/>
      <c r="Q599" s="151">
        <f t="shared" si="47"/>
        <v>0</v>
      </c>
      <c r="R599" s="706"/>
    </row>
    <row r="600" spans="1:18" ht="15" hidden="1" customHeight="1" x14ac:dyDescent="0.25">
      <c r="A600" s="172"/>
      <c r="B600" s="172"/>
      <c r="C600" s="188"/>
      <c r="D600" s="193" t="s">
        <v>761</v>
      </c>
      <c r="E600" s="183">
        <v>1</v>
      </c>
      <c r="F600" s="151">
        <v>171956</v>
      </c>
      <c r="G600" s="151"/>
      <c r="H600" s="151"/>
      <c r="I600" s="151"/>
      <c r="J600" s="151"/>
      <c r="K600" s="151"/>
      <c r="L600" s="151"/>
      <c r="M600" s="151"/>
      <c r="N600" s="151"/>
      <c r="O600" s="151"/>
      <c r="P600" s="151"/>
      <c r="Q600" s="151">
        <f t="shared" si="47"/>
        <v>0</v>
      </c>
      <c r="R600" s="706"/>
    </row>
    <row r="601" spans="1:18" ht="15" hidden="1" customHeight="1" x14ac:dyDescent="0.25">
      <c r="A601" s="172"/>
      <c r="B601" s="172"/>
      <c r="C601" s="188"/>
      <c r="D601" s="193" t="s">
        <v>762</v>
      </c>
      <c r="E601" s="183">
        <v>1</v>
      </c>
      <c r="F601" s="151">
        <v>171958</v>
      </c>
      <c r="G601" s="151"/>
      <c r="H601" s="151"/>
      <c r="I601" s="151"/>
      <c r="J601" s="151"/>
      <c r="K601" s="151"/>
      <c r="L601" s="151"/>
      <c r="M601" s="151"/>
      <c r="N601" s="151"/>
      <c r="O601" s="151"/>
      <c r="P601" s="151"/>
      <c r="Q601" s="151">
        <f t="shared" si="47"/>
        <v>0</v>
      </c>
      <c r="R601" s="706"/>
    </row>
    <row r="602" spans="1:18" ht="15" hidden="1" customHeight="1" x14ac:dyDescent="0.25">
      <c r="A602" s="172"/>
      <c r="B602" s="172"/>
      <c r="C602" s="188"/>
      <c r="D602" s="193" t="s">
        <v>763</v>
      </c>
      <c r="E602" s="183">
        <v>1</v>
      </c>
      <c r="F602" s="151">
        <v>171904</v>
      </c>
      <c r="G602" s="151"/>
      <c r="H602" s="151"/>
      <c r="I602" s="151"/>
      <c r="J602" s="151"/>
      <c r="K602" s="151"/>
      <c r="L602" s="151"/>
      <c r="M602" s="151"/>
      <c r="N602" s="151"/>
      <c r="O602" s="151"/>
      <c r="P602" s="151"/>
      <c r="Q602" s="151">
        <f t="shared" si="47"/>
        <v>0</v>
      </c>
      <c r="R602" s="706"/>
    </row>
    <row r="603" spans="1:18" ht="15" hidden="1" customHeight="1" x14ac:dyDescent="0.25">
      <c r="A603" s="172"/>
      <c r="B603" s="172"/>
      <c r="C603" s="188"/>
      <c r="D603" s="186" t="s">
        <v>764</v>
      </c>
      <c r="E603" s="151">
        <v>1</v>
      </c>
      <c r="F603" s="151">
        <v>171902</v>
      </c>
      <c r="G603" s="151"/>
      <c r="H603" s="151"/>
      <c r="I603" s="151"/>
      <c r="J603" s="151"/>
      <c r="K603" s="151"/>
      <c r="L603" s="151"/>
      <c r="M603" s="151"/>
      <c r="N603" s="151"/>
      <c r="O603" s="151"/>
      <c r="P603" s="151"/>
      <c r="Q603" s="151">
        <f t="shared" si="47"/>
        <v>0</v>
      </c>
      <c r="R603" s="706"/>
    </row>
    <row r="604" spans="1:18" ht="15" hidden="1" customHeight="1" x14ac:dyDescent="0.25">
      <c r="A604" s="172"/>
      <c r="B604" s="172"/>
      <c r="C604" s="188"/>
      <c r="D604" s="186" t="s">
        <v>765</v>
      </c>
      <c r="E604" s="151">
        <v>1</v>
      </c>
      <c r="F604" s="151">
        <v>171925</v>
      </c>
      <c r="G604" s="151"/>
      <c r="H604" s="151"/>
      <c r="I604" s="151"/>
      <c r="J604" s="151"/>
      <c r="K604" s="151"/>
      <c r="L604" s="151"/>
      <c r="M604" s="151"/>
      <c r="N604" s="151"/>
      <c r="O604" s="151"/>
      <c r="P604" s="151"/>
      <c r="Q604" s="151">
        <f t="shared" si="47"/>
        <v>0</v>
      </c>
      <c r="R604" s="706"/>
    </row>
    <row r="605" spans="1:18" ht="24.75" hidden="1" customHeight="1" x14ac:dyDescent="0.25">
      <c r="A605" s="172"/>
      <c r="B605" s="172"/>
      <c r="C605" s="188"/>
      <c r="D605" s="423" t="s">
        <v>942</v>
      </c>
      <c r="E605" s="424">
        <v>1</v>
      </c>
      <c r="F605" s="151">
        <v>171911</v>
      </c>
      <c r="G605" s="151"/>
      <c r="H605" s="151"/>
      <c r="I605" s="151"/>
      <c r="J605" s="151"/>
      <c r="K605" s="151"/>
      <c r="L605" s="151"/>
      <c r="M605" s="151"/>
      <c r="N605" s="151"/>
      <c r="O605" s="151"/>
      <c r="P605" s="151"/>
      <c r="Q605" s="151">
        <f t="shared" si="47"/>
        <v>0</v>
      </c>
      <c r="R605" s="706"/>
    </row>
    <row r="606" spans="1:18" ht="18.600000000000001" customHeight="1" x14ac:dyDescent="0.25">
      <c r="A606" s="765"/>
      <c r="B606" s="765"/>
      <c r="C606" s="758"/>
      <c r="D606" s="825" t="s">
        <v>1322</v>
      </c>
      <c r="E606" s="826">
        <v>1</v>
      </c>
      <c r="F606" s="764">
        <v>172920</v>
      </c>
      <c r="G606" s="764"/>
      <c r="H606" s="764"/>
      <c r="I606" s="764">
        <v>5933</v>
      </c>
      <c r="J606" s="764"/>
      <c r="K606" s="764"/>
      <c r="L606" s="764"/>
      <c r="M606" s="764"/>
      <c r="N606" s="764"/>
      <c r="O606" s="764"/>
      <c r="P606" s="764"/>
      <c r="Q606" s="151">
        <f t="shared" si="47"/>
        <v>5933</v>
      </c>
      <c r="R606" s="762" t="s">
        <v>1294</v>
      </c>
    </row>
    <row r="607" spans="1:18" ht="15" hidden="1" customHeight="1" x14ac:dyDescent="0.25">
      <c r="A607" s="172"/>
      <c r="B607" s="172"/>
      <c r="C607" s="172"/>
      <c r="D607" s="151" t="s">
        <v>766</v>
      </c>
      <c r="E607" s="200"/>
      <c r="F607" s="151"/>
      <c r="G607" s="151"/>
      <c r="H607" s="177"/>
      <c r="I607" s="151"/>
      <c r="J607" s="177"/>
      <c r="K607" s="177"/>
      <c r="L607" s="177"/>
      <c r="M607" s="151"/>
      <c r="N607" s="151"/>
      <c r="O607" s="151"/>
      <c r="P607" s="151"/>
      <c r="Q607" s="151"/>
      <c r="R607" s="706"/>
    </row>
    <row r="608" spans="1:18" ht="15" hidden="1" customHeight="1" x14ac:dyDescent="0.25">
      <c r="A608" s="172"/>
      <c r="B608" s="172"/>
      <c r="C608" s="172"/>
      <c r="D608" s="268" t="s">
        <v>767</v>
      </c>
      <c r="E608" s="200">
        <v>1</v>
      </c>
      <c r="F608" s="151">
        <v>171954</v>
      </c>
      <c r="G608" s="151"/>
      <c r="H608" s="151"/>
      <c r="I608" s="151"/>
      <c r="J608" s="151"/>
      <c r="K608" s="151"/>
      <c r="L608" s="151"/>
      <c r="M608" s="151"/>
      <c r="N608" s="151"/>
      <c r="O608" s="151"/>
      <c r="P608" s="151"/>
      <c r="Q608" s="151">
        <f>SUM(G608:P608)</f>
        <v>0</v>
      </c>
      <c r="R608" s="706"/>
    </row>
    <row r="609" spans="1:18" ht="15" customHeight="1" x14ac:dyDescent="0.25">
      <c r="A609" s="194"/>
      <c r="B609" s="194"/>
      <c r="C609" s="425"/>
      <c r="D609" s="196" t="s">
        <v>768</v>
      </c>
      <c r="E609" s="197"/>
      <c r="F609" s="198"/>
      <c r="G609" s="198">
        <f t="shared" ref="G609:Q609" si="48">SUM(G596:G608)</f>
        <v>0</v>
      </c>
      <c r="H609" s="198">
        <f t="shared" si="48"/>
        <v>0</v>
      </c>
      <c r="I609" s="198">
        <f t="shared" si="48"/>
        <v>5933</v>
      </c>
      <c r="J609" s="198">
        <f t="shared" si="48"/>
        <v>0</v>
      </c>
      <c r="K609" s="198">
        <f t="shared" si="48"/>
        <v>0</v>
      </c>
      <c r="L609" s="198">
        <f t="shared" si="48"/>
        <v>0</v>
      </c>
      <c r="M609" s="198">
        <f t="shared" si="48"/>
        <v>0</v>
      </c>
      <c r="N609" s="198">
        <f t="shared" si="48"/>
        <v>0</v>
      </c>
      <c r="O609" s="198">
        <f t="shared" si="48"/>
        <v>0</v>
      </c>
      <c r="P609" s="198">
        <f t="shared" si="48"/>
        <v>0</v>
      </c>
      <c r="Q609" s="198">
        <f t="shared" si="48"/>
        <v>5933</v>
      </c>
      <c r="R609" s="707"/>
    </row>
    <row r="610" spans="1:18" ht="14.1" customHeight="1" x14ac:dyDescent="0.25">
      <c r="A610" s="199"/>
      <c r="B610" s="199"/>
      <c r="C610" s="217"/>
      <c r="D610" s="218" t="s">
        <v>769</v>
      </c>
      <c r="E610" s="201"/>
      <c r="F610" s="202"/>
      <c r="G610" s="202"/>
      <c r="H610" s="202"/>
      <c r="I610" s="202"/>
      <c r="J610" s="202"/>
      <c r="K610" s="202"/>
      <c r="L610" s="202"/>
      <c r="M610" s="202"/>
      <c r="N610" s="202"/>
      <c r="O610" s="202"/>
      <c r="P610" s="202"/>
      <c r="Q610" s="202"/>
      <c r="R610" s="706"/>
    </row>
    <row r="611" spans="1:18" ht="27" hidden="1" customHeight="1" x14ac:dyDescent="0.25">
      <c r="A611" s="199"/>
      <c r="B611" s="199"/>
      <c r="C611" s="188" t="s">
        <v>92</v>
      </c>
      <c r="D611" s="426" t="s">
        <v>770</v>
      </c>
      <c r="E611" s="240"/>
      <c r="F611" s="241">
        <v>171980</v>
      </c>
      <c r="G611" s="151"/>
      <c r="H611" s="151"/>
      <c r="I611" s="151"/>
      <c r="J611" s="151"/>
      <c r="K611" s="151"/>
      <c r="L611" s="151"/>
      <c r="M611" s="151"/>
      <c r="N611" s="151"/>
      <c r="O611" s="151"/>
      <c r="P611" s="151"/>
      <c r="Q611" s="151">
        <f>SUM(G611:P611)</f>
        <v>0</v>
      </c>
      <c r="R611" s="706"/>
    </row>
    <row r="612" spans="1:18" ht="15.6" customHeight="1" x14ac:dyDescent="0.25">
      <c r="A612" s="576"/>
      <c r="B612" s="576"/>
      <c r="C612" s="188" t="s">
        <v>91</v>
      </c>
      <c r="D612" s="636" t="s">
        <v>1182</v>
      </c>
      <c r="E612" s="589"/>
      <c r="F612" s="655">
        <v>172927</v>
      </c>
      <c r="G612" s="510"/>
      <c r="H612" s="510"/>
      <c r="I612" s="510"/>
      <c r="J612" s="510"/>
      <c r="K612" s="510"/>
      <c r="L612" s="510">
        <v>-1000</v>
      </c>
      <c r="M612" s="510"/>
      <c r="N612" s="510"/>
      <c r="O612" s="510"/>
      <c r="P612" s="510"/>
      <c r="Q612" s="151">
        <f>SUM(G612:P612)</f>
        <v>-1000</v>
      </c>
      <c r="R612" s="706" t="s">
        <v>1295</v>
      </c>
    </row>
    <row r="613" spans="1:18" ht="15.9" hidden="1" customHeight="1" x14ac:dyDescent="0.25">
      <c r="A613" s="199"/>
      <c r="B613" s="199"/>
      <c r="C613" s="188"/>
      <c r="D613" s="186" t="s">
        <v>1026</v>
      </c>
      <c r="E613" s="240"/>
      <c r="F613" s="241"/>
      <c r="G613" s="151"/>
      <c r="H613" s="202"/>
      <c r="I613" s="202"/>
      <c r="J613" s="202"/>
      <c r="K613" s="202"/>
      <c r="L613" s="151"/>
      <c r="M613" s="151"/>
      <c r="N613" s="151"/>
      <c r="O613" s="151"/>
      <c r="P613" s="151"/>
      <c r="Q613" s="151"/>
      <c r="R613" s="706"/>
    </row>
    <row r="614" spans="1:18" ht="16.5" hidden="1" customHeight="1" x14ac:dyDescent="0.25">
      <c r="A614" s="199"/>
      <c r="B614" s="199"/>
      <c r="C614" s="188" t="s">
        <v>355</v>
      </c>
      <c r="D614" s="617" t="s">
        <v>771</v>
      </c>
      <c r="E614" s="427"/>
      <c r="F614" s="151">
        <v>162603</v>
      </c>
      <c r="G614" s="151"/>
      <c r="H614" s="151"/>
      <c r="I614" s="151"/>
      <c r="J614" s="151"/>
      <c r="K614" s="151"/>
      <c r="L614" s="151"/>
      <c r="M614" s="151"/>
      <c r="N614" s="151"/>
      <c r="O614" s="151"/>
      <c r="P614" s="151"/>
      <c r="Q614" s="151">
        <f>SUM(G614:P614)</f>
        <v>0</v>
      </c>
      <c r="R614" s="706"/>
    </row>
    <row r="615" spans="1:18" ht="18" hidden="1" customHeight="1" x14ac:dyDescent="0.25">
      <c r="A615" s="199"/>
      <c r="B615" s="199"/>
      <c r="C615" s="188" t="s">
        <v>357</v>
      </c>
      <c r="D615" s="205" t="s">
        <v>772</v>
      </c>
      <c r="E615" s="242"/>
      <c r="F615" s="200">
        <v>172923</v>
      </c>
      <c r="G615" s="151"/>
      <c r="H615" s="151"/>
      <c r="I615" s="151"/>
      <c r="J615" s="151"/>
      <c r="K615" s="151"/>
      <c r="L615" s="151"/>
      <c r="M615" s="151"/>
      <c r="N615" s="151"/>
      <c r="O615" s="151"/>
      <c r="P615" s="151"/>
      <c r="Q615" s="151">
        <f>SUM(G615:P615)</f>
        <v>0</v>
      </c>
      <c r="R615" s="706"/>
    </row>
    <row r="616" spans="1:18" ht="15.9" customHeight="1" x14ac:dyDescent="0.25">
      <c r="A616" s="194"/>
      <c r="B616" s="194"/>
      <c r="C616" s="195"/>
      <c r="D616" s="196" t="s">
        <v>294</v>
      </c>
      <c r="E616" s="197"/>
      <c r="F616" s="198"/>
      <c r="G616" s="198">
        <f t="shared" ref="G616:Q616" si="49">SUM(G609:G615)</f>
        <v>0</v>
      </c>
      <c r="H616" s="198">
        <f t="shared" si="49"/>
        <v>0</v>
      </c>
      <c r="I616" s="198">
        <f t="shared" si="49"/>
        <v>5933</v>
      </c>
      <c r="J616" s="198">
        <f t="shared" si="49"/>
        <v>0</v>
      </c>
      <c r="K616" s="198">
        <f t="shared" si="49"/>
        <v>0</v>
      </c>
      <c r="L616" s="198">
        <f t="shared" si="49"/>
        <v>-1000</v>
      </c>
      <c r="M616" s="198">
        <f t="shared" si="49"/>
        <v>0</v>
      </c>
      <c r="N616" s="198">
        <f t="shared" si="49"/>
        <v>0</v>
      </c>
      <c r="O616" s="198">
        <f t="shared" si="49"/>
        <v>0</v>
      </c>
      <c r="P616" s="198">
        <f t="shared" si="49"/>
        <v>0</v>
      </c>
      <c r="Q616" s="198">
        <f t="shared" si="49"/>
        <v>4933</v>
      </c>
      <c r="R616" s="707"/>
    </row>
    <row r="617" spans="1:18" ht="15" customHeight="1" x14ac:dyDescent="0.25">
      <c r="A617" s="172">
        <v>1</v>
      </c>
      <c r="B617" s="172">
        <v>18</v>
      </c>
      <c r="C617" s="188"/>
      <c r="D617" s="221" t="s">
        <v>773</v>
      </c>
      <c r="E617" s="201"/>
      <c r="F617" s="201"/>
      <c r="G617" s="151"/>
      <c r="H617" s="177"/>
      <c r="I617" s="177"/>
      <c r="J617" s="177"/>
      <c r="K617" s="177"/>
      <c r="L617" s="177"/>
      <c r="M617" s="151"/>
      <c r="N617" s="151"/>
      <c r="O617" s="151"/>
      <c r="P617" s="151"/>
      <c r="Q617" s="151"/>
      <c r="R617" s="706"/>
    </row>
    <row r="618" spans="1:18" ht="15.75" customHeight="1" x14ac:dyDescent="0.25">
      <c r="A618" s="172"/>
      <c r="B618" s="172"/>
      <c r="C618" s="188"/>
      <c r="D618" s="186" t="s">
        <v>225</v>
      </c>
      <c r="E618" s="204"/>
      <c r="F618" s="204"/>
      <c r="G618" s="151"/>
      <c r="H618" s="177"/>
      <c r="I618" s="177"/>
      <c r="J618" s="177"/>
      <c r="K618" s="177"/>
      <c r="L618" s="177"/>
      <c r="M618" s="151"/>
      <c r="N618" s="151"/>
      <c r="O618" s="151"/>
      <c r="P618" s="151"/>
      <c r="Q618" s="151"/>
      <c r="R618" s="706"/>
    </row>
    <row r="619" spans="1:18" ht="17.25" hidden="1" customHeight="1" x14ac:dyDescent="0.25">
      <c r="A619" s="172"/>
      <c r="B619" s="172"/>
      <c r="C619" s="188"/>
      <c r="D619" s="186" t="s">
        <v>774</v>
      </c>
      <c r="E619" s="151">
        <v>2</v>
      </c>
      <c r="F619" s="151">
        <v>181905</v>
      </c>
      <c r="G619" s="151"/>
      <c r="H619" s="151"/>
      <c r="I619" s="151"/>
      <c r="J619" s="151"/>
      <c r="K619" s="151"/>
      <c r="L619" s="151"/>
      <c r="M619" s="151"/>
      <c r="N619" s="151"/>
      <c r="O619" s="151"/>
      <c r="P619" s="151"/>
      <c r="Q619" s="151">
        <f>SUM(G619:P619)</f>
        <v>0</v>
      </c>
      <c r="R619" s="706"/>
    </row>
    <row r="620" spans="1:18" ht="27.75" customHeight="1" x14ac:dyDescent="0.25">
      <c r="A620" s="172"/>
      <c r="B620" s="172"/>
      <c r="C620" s="188"/>
      <c r="D620" s="193" t="s">
        <v>775</v>
      </c>
      <c r="E620" s="151">
        <v>1</v>
      </c>
      <c r="F620" s="151" t="s">
        <v>297</v>
      </c>
      <c r="G620" s="151"/>
      <c r="H620" s="151"/>
      <c r="I620" s="151">
        <v>-9525</v>
      </c>
      <c r="J620" s="151"/>
      <c r="K620" s="151"/>
      <c r="L620" s="151"/>
      <c r="M620" s="151">
        <v>9525</v>
      </c>
      <c r="N620" s="151"/>
      <c r="O620" s="151"/>
      <c r="P620" s="151"/>
      <c r="Q620" s="151">
        <f>SUM(G620:P620)</f>
        <v>0</v>
      </c>
      <c r="R620" s="706" t="s">
        <v>1294</v>
      </c>
    </row>
    <row r="621" spans="1:18" ht="14.1" hidden="1" customHeight="1" x14ac:dyDescent="0.25">
      <c r="A621" s="172"/>
      <c r="B621" s="172"/>
      <c r="C621" s="188"/>
      <c r="D621" s="186" t="s">
        <v>776</v>
      </c>
      <c r="E621" s="151">
        <v>1</v>
      </c>
      <c r="F621" s="151">
        <v>181906</v>
      </c>
      <c r="G621" s="151"/>
      <c r="H621" s="151"/>
      <c r="I621" s="151"/>
      <c r="J621" s="151"/>
      <c r="K621" s="151"/>
      <c r="L621" s="151"/>
      <c r="M621" s="151"/>
      <c r="N621" s="151"/>
      <c r="O621" s="151"/>
      <c r="P621" s="151"/>
      <c r="Q621" s="151">
        <f>SUM(G621:P621)</f>
        <v>0</v>
      </c>
      <c r="R621" s="706"/>
    </row>
    <row r="622" spans="1:18" ht="14.1" hidden="1" customHeight="1" x14ac:dyDescent="0.25">
      <c r="A622" s="172"/>
      <c r="B622" s="172"/>
      <c r="C622" s="188"/>
      <c r="D622" s="186" t="s">
        <v>1083</v>
      </c>
      <c r="E622" s="151">
        <v>1</v>
      </c>
      <c r="F622" s="151">
        <v>181915</v>
      </c>
      <c r="G622" s="151"/>
      <c r="H622" s="151"/>
      <c r="I622" s="151"/>
      <c r="J622" s="151"/>
      <c r="K622" s="151"/>
      <c r="L622" s="151"/>
      <c r="M622" s="151"/>
      <c r="N622" s="151"/>
      <c r="O622" s="151"/>
      <c r="P622" s="151"/>
      <c r="Q622" s="151">
        <f>SUM(G622:P622)</f>
        <v>0</v>
      </c>
      <c r="R622" s="706"/>
    </row>
    <row r="623" spans="1:18" ht="15" hidden="1" customHeight="1" x14ac:dyDescent="0.25">
      <c r="A623" s="172"/>
      <c r="B623" s="172"/>
      <c r="C623" s="188"/>
      <c r="D623" s="189" t="s">
        <v>216</v>
      </c>
      <c r="E623" s="208"/>
      <c r="F623" s="208"/>
      <c r="G623" s="151"/>
      <c r="H623" s="151"/>
      <c r="I623" s="151"/>
      <c r="J623" s="151"/>
      <c r="K623" s="151"/>
      <c r="L623" s="151"/>
      <c r="M623" s="151"/>
      <c r="N623" s="151"/>
      <c r="O623" s="151"/>
      <c r="P623" s="151"/>
      <c r="Q623" s="151"/>
      <c r="R623" s="706"/>
    </row>
    <row r="624" spans="1:18" ht="15" hidden="1" customHeight="1" x14ac:dyDescent="0.25">
      <c r="A624" s="172"/>
      <c r="B624" s="172"/>
      <c r="C624" s="188"/>
      <c r="D624" s="186" t="s">
        <v>777</v>
      </c>
      <c r="E624" s="192">
        <v>1</v>
      </c>
      <c r="F624" s="151">
        <v>221950</v>
      </c>
      <c r="G624" s="151"/>
      <c r="H624" s="151"/>
      <c r="I624" s="151"/>
      <c r="J624" s="151"/>
      <c r="K624" s="151"/>
      <c r="L624" s="151"/>
      <c r="M624" s="151"/>
      <c r="N624" s="151"/>
      <c r="O624" s="151"/>
      <c r="P624" s="151"/>
      <c r="Q624" s="243">
        <f>SUM(G624:P624)</f>
        <v>0</v>
      </c>
      <c r="R624" s="706"/>
    </row>
    <row r="625" spans="1:18" ht="24.9" hidden="1" customHeight="1" x14ac:dyDescent="0.25">
      <c r="A625" s="172"/>
      <c r="B625" s="172"/>
      <c r="C625" s="188"/>
      <c r="D625" s="193" t="s">
        <v>778</v>
      </c>
      <c r="E625" s="183">
        <v>1</v>
      </c>
      <c r="F625" s="151">
        <v>181907</v>
      </c>
      <c r="G625" s="151"/>
      <c r="H625" s="151"/>
      <c r="I625" s="151"/>
      <c r="J625" s="151"/>
      <c r="K625" s="151"/>
      <c r="L625" s="151"/>
      <c r="M625" s="151"/>
      <c r="N625" s="151"/>
      <c r="O625" s="151"/>
      <c r="P625" s="151"/>
      <c r="Q625" s="151">
        <f>SUM(G625:P625)</f>
        <v>0</v>
      </c>
      <c r="R625" s="706"/>
    </row>
    <row r="626" spans="1:18" ht="15.75" hidden="1" customHeight="1" x14ac:dyDescent="0.25">
      <c r="A626" s="172"/>
      <c r="B626" s="172"/>
      <c r="C626" s="188"/>
      <c r="D626" s="186" t="s">
        <v>779</v>
      </c>
      <c r="E626" s="183"/>
      <c r="F626" s="183"/>
      <c r="G626" s="151"/>
      <c r="H626" s="151"/>
      <c r="I626" s="151"/>
      <c r="J626" s="151"/>
      <c r="K626" s="151"/>
      <c r="L626" s="151"/>
      <c r="M626" s="151"/>
      <c r="N626" s="151"/>
      <c r="O626" s="151"/>
      <c r="P626" s="151"/>
      <c r="Q626" s="151"/>
      <c r="R626" s="706"/>
    </row>
    <row r="627" spans="1:18" ht="12.75" hidden="1" customHeight="1" x14ac:dyDescent="0.25">
      <c r="A627" s="172"/>
      <c r="B627" s="172"/>
      <c r="C627" s="188"/>
      <c r="D627" s="193" t="s">
        <v>780</v>
      </c>
      <c r="E627" s="183">
        <v>1</v>
      </c>
      <c r="F627" s="151">
        <v>181909</v>
      </c>
      <c r="G627" s="151"/>
      <c r="H627" s="151"/>
      <c r="I627" s="151"/>
      <c r="J627" s="151"/>
      <c r="K627" s="151"/>
      <c r="L627" s="151"/>
      <c r="M627" s="151"/>
      <c r="N627" s="151"/>
      <c r="O627" s="151"/>
      <c r="P627" s="151"/>
      <c r="Q627" s="151">
        <f>SUM(G627:P627)</f>
        <v>0</v>
      </c>
      <c r="R627" s="706"/>
    </row>
    <row r="628" spans="1:18" ht="26.25" hidden="1" customHeight="1" x14ac:dyDescent="0.25">
      <c r="A628" s="172"/>
      <c r="B628" s="172"/>
      <c r="C628" s="188"/>
      <c r="D628" s="193" t="s">
        <v>781</v>
      </c>
      <c r="E628" s="208">
        <v>2</v>
      </c>
      <c r="F628" s="210">
        <v>191142</v>
      </c>
      <c r="G628" s="151"/>
      <c r="H628" s="151"/>
      <c r="I628" s="151"/>
      <c r="J628" s="151"/>
      <c r="K628" s="151"/>
      <c r="L628" s="151"/>
      <c r="M628" s="151"/>
      <c r="N628" s="151"/>
      <c r="O628" s="151"/>
      <c r="P628" s="151"/>
      <c r="Q628" s="151">
        <f>SUM(G628:P628)</f>
        <v>0</v>
      </c>
      <c r="R628" s="706"/>
    </row>
    <row r="629" spans="1:18" ht="29.25" hidden="1" customHeight="1" x14ac:dyDescent="0.25">
      <c r="A629" s="172"/>
      <c r="B629" s="172"/>
      <c r="C629" s="188"/>
      <c r="D629" s="193" t="s">
        <v>782</v>
      </c>
      <c r="E629" s="208">
        <v>2</v>
      </c>
      <c r="F629" s="210">
        <v>191154</v>
      </c>
      <c r="G629" s="151"/>
      <c r="H629" s="151"/>
      <c r="I629" s="151"/>
      <c r="J629" s="151"/>
      <c r="K629" s="151"/>
      <c r="L629" s="151"/>
      <c r="M629" s="151"/>
      <c r="N629" s="151"/>
      <c r="O629" s="151"/>
      <c r="P629" s="151"/>
      <c r="Q629" s="151">
        <f>SUM(G629:P629)</f>
        <v>0</v>
      </c>
      <c r="R629" s="706"/>
    </row>
    <row r="630" spans="1:18" ht="15" hidden="1" customHeight="1" x14ac:dyDescent="0.25">
      <c r="A630" s="172"/>
      <c r="B630" s="172"/>
      <c r="C630" s="188"/>
      <c r="D630" s="193" t="s">
        <v>783</v>
      </c>
      <c r="E630" s="183"/>
      <c r="F630" s="183"/>
      <c r="G630" s="151"/>
      <c r="H630" s="151"/>
      <c r="I630" s="151"/>
      <c r="J630" s="151"/>
      <c r="K630" s="151"/>
      <c r="L630" s="151"/>
      <c r="M630" s="151"/>
      <c r="N630" s="151"/>
      <c r="O630" s="151"/>
      <c r="P630" s="151"/>
      <c r="Q630" s="151"/>
      <c r="R630" s="706"/>
    </row>
    <row r="631" spans="1:18" ht="15" hidden="1" customHeight="1" x14ac:dyDescent="0.25">
      <c r="A631" s="172"/>
      <c r="B631" s="172"/>
      <c r="C631" s="188"/>
      <c r="D631" s="193" t="s">
        <v>784</v>
      </c>
      <c r="E631" s="183">
        <v>1</v>
      </c>
      <c r="F631" s="151">
        <v>181902</v>
      </c>
      <c r="G631" s="151"/>
      <c r="H631" s="151"/>
      <c r="I631" s="151"/>
      <c r="J631" s="151"/>
      <c r="K631" s="151"/>
      <c r="L631" s="151"/>
      <c r="M631" s="151"/>
      <c r="N631" s="151"/>
      <c r="O631" s="151"/>
      <c r="P631" s="151"/>
      <c r="Q631" s="151">
        <f>SUM(G631:P631)</f>
        <v>0</v>
      </c>
      <c r="R631" s="706"/>
    </row>
    <row r="632" spans="1:18" ht="15" hidden="1" customHeight="1" x14ac:dyDescent="0.25">
      <c r="A632" s="172"/>
      <c r="B632" s="172"/>
      <c r="C632" s="188"/>
      <c r="D632" s="193" t="s">
        <v>785</v>
      </c>
      <c r="E632" s="183">
        <v>1</v>
      </c>
      <c r="F632" s="151">
        <v>181903</v>
      </c>
      <c r="G632" s="151"/>
      <c r="H632" s="151"/>
      <c r="I632" s="151"/>
      <c r="J632" s="151"/>
      <c r="K632" s="151"/>
      <c r="L632" s="151"/>
      <c r="M632" s="151"/>
      <c r="N632" s="151"/>
      <c r="O632" s="151"/>
      <c r="P632" s="151"/>
      <c r="Q632" s="151">
        <f>SUM(G632:P632)</f>
        <v>0</v>
      </c>
      <c r="R632" s="706"/>
    </row>
    <row r="633" spans="1:18" ht="14.1" hidden="1" customHeight="1" x14ac:dyDescent="0.25">
      <c r="A633" s="428"/>
      <c r="B633" s="428"/>
      <c r="C633" s="428"/>
      <c r="D633" s="186" t="s">
        <v>786</v>
      </c>
      <c r="E633" s="151">
        <v>1</v>
      </c>
      <c r="F633" s="151">
        <v>181904</v>
      </c>
      <c r="G633" s="151"/>
      <c r="H633" s="151"/>
      <c r="I633" s="151"/>
      <c r="J633" s="151"/>
      <c r="K633" s="151"/>
      <c r="L633" s="151"/>
      <c r="M633" s="151"/>
      <c r="N633" s="151"/>
      <c r="O633" s="151"/>
      <c r="P633" s="151"/>
      <c r="Q633" s="151">
        <f>SUM(G633:P633)</f>
        <v>0</v>
      </c>
      <c r="R633" s="706"/>
    </row>
    <row r="634" spans="1:18" ht="15" customHeight="1" x14ac:dyDescent="0.25">
      <c r="A634" s="198"/>
      <c r="B634" s="198"/>
      <c r="C634" s="196"/>
      <c r="D634" s="196" t="s">
        <v>787</v>
      </c>
      <c r="E634" s="197"/>
      <c r="F634" s="197"/>
      <c r="G634" s="228">
        <f t="shared" ref="G634:Q634" si="50">SUM(G619:G633)</f>
        <v>0</v>
      </c>
      <c r="H634" s="228">
        <f t="shared" si="50"/>
        <v>0</v>
      </c>
      <c r="I634" s="228">
        <f t="shared" si="50"/>
        <v>-9525</v>
      </c>
      <c r="J634" s="228">
        <f t="shared" si="50"/>
        <v>0</v>
      </c>
      <c r="K634" s="228">
        <f t="shared" si="50"/>
        <v>0</v>
      </c>
      <c r="L634" s="228">
        <f t="shared" si="50"/>
        <v>0</v>
      </c>
      <c r="M634" s="228">
        <f t="shared" si="50"/>
        <v>9525</v>
      </c>
      <c r="N634" s="228">
        <f t="shared" si="50"/>
        <v>0</v>
      </c>
      <c r="O634" s="228">
        <f t="shared" si="50"/>
        <v>0</v>
      </c>
      <c r="P634" s="228">
        <f t="shared" si="50"/>
        <v>0</v>
      </c>
      <c r="Q634" s="228">
        <f t="shared" si="50"/>
        <v>0</v>
      </c>
      <c r="R634" s="707"/>
    </row>
    <row r="635" spans="1:18" ht="15" customHeight="1" x14ac:dyDescent="0.25">
      <c r="A635" s="202"/>
      <c r="B635" s="202"/>
      <c r="C635" s="221"/>
      <c r="D635" s="218" t="s">
        <v>788</v>
      </c>
      <c r="E635" s="201"/>
      <c r="F635" s="201"/>
      <c r="G635" s="177"/>
      <c r="H635" s="177"/>
      <c r="I635" s="177"/>
      <c r="J635" s="177"/>
      <c r="K635" s="177"/>
      <c r="L635" s="177"/>
      <c r="M635" s="177"/>
      <c r="N635" s="177"/>
      <c r="O635" s="177"/>
      <c r="P635" s="177"/>
      <c r="Q635" s="177"/>
      <c r="R635" s="706"/>
    </row>
    <row r="636" spans="1:18" ht="27" hidden="1" customHeight="1" x14ac:dyDescent="0.25">
      <c r="A636" s="202"/>
      <c r="B636" s="202"/>
      <c r="C636" s="507" t="s">
        <v>92</v>
      </c>
      <c r="D636" s="515" t="s">
        <v>1109</v>
      </c>
      <c r="F636" s="510">
        <v>182912</v>
      </c>
      <c r="G636" s="245"/>
      <c r="H636" s="245"/>
      <c r="I636" s="534"/>
      <c r="J636" s="534"/>
      <c r="K636" s="534"/>
      <c r="L636" s="534"/>
      <c r="M636" s="245"/>
      <c r="N636" s="245"/>
      <c r="O636" s="245"/>
      <c r="P636" s="245"/>
      <c r="Q636" s="177">
        <f>SUM(G636:P636)</f>
        <v>0</v>
      </c>
      <c r="R636" s="706"/>
    </row>
    <row r="637" spans="1:18" ht="18.75" hidden="1" customHeight="1" x14ac:dyDescent="0.25">
      <c r="A637" s="588"/>
      <c r="B637" s="588"/>
      <c r="C637" s="507" t="s">
        <v>91</v>
      </c>
      <c r="D637" s="515" t="s">
        <v>1224</v>
      </c>
      <c r="F637" s="586">
        <v>182902</v>
      </c>
      <c r="G637" s="245"/>
      <c r="H637" s="245"/>
      <c r="I637" s="534"/>
      <c r="J637" s="534"/>
      <c r="K637" s="534"/>
      <c r="L637" s="534"/>
      <c r="M637" s="245"/>
      <c r="N637" s="245"/>
      <c r="O637" s="245"/>
      <c r="P637" s="245"/>
      <c r="Q637" s="177">
        <f>SUM(G637:P637)</f>
        <v>0</v>
      </c>
      <c r="R637" s="706"/>
    </row>
    <row r="638" spans="1:18" ht="15" hidden="1" customHeight="1" x14ac:dyDescent="0.25">
      <c r="A638" s="202"/>
      <c r="B638" s="202"/>
      <c r="C638" s="246"/>
      <c r="D638" s="186" t="s">
        <v>1026</v>
      </c>
      <c r="E638" s="532"/>
      <c r="F638" s="510"/>
      <c r="G638" s="245"/>
      <c r="H638" s="245"/>
      <c r="I638" s="245"/>
      <c r="J638" s="245"/>
      <c r="K638" s="245"/>
      <c r="L638" s="245"/>
      <c r="M638" s="245"/>
      <c r="N638" s="245"/>
      <c r="O638" s="177"/>
      <c r="P638" s="177"/>
      <c r="Q638" s="177"/>
      <c r="R638" s="706"/>
    </row>
    <row r="639" spans="1:18" ht="15" hidden="1" customHeight="1" x14ac:dyDescent="0.25">
      <c r="A639" s="202"/>
      <c r="B639" s="202"/>
      <c r="C639" s="188" t="s">
        <v>355</v>
      </c>
      <c r="D639" s="358" t="s">
        <v>790</v>
      </c>
      <c r="E639" s="429"/>
      <c r="F639" s="533">
        <v>182905</v>
      </c>
      <c r="G639" s="245"/>
      <c r="H639" s="245"/>
      <c r="I639" s="245"/>
      <c r="J639" s="245"/>
      <c r="K639" s="245"/>
      <c r="L639" s="245"/>
      <c r="M639" s="245"/>
      <c r="N639" s="245"/>
      <c r="O639" s="245"/>
      <c r="P639" s="245"/>
      <c r="Q639" s="177">
        <f>SUM(G639:P639)</f>
        <v>0</v>
      </c>
      <c r="R639" s="706"/>
    </row>
    <row r="640" spans="1:18" ht="15" hidden="1" customHeight="1" x14ac:dyDescent="0.25">
      <c r="A640" s="202"/>
      <c r="B640" s="202"/>
      <c r="C640" s="188" t="s">
        <v>357</v>
      </c>
      <c r="D640" s="398" t="s">
        <v>789</v>
      </c>
      <c r="E640" s="244"/>
      <c r="F640" s="247">
        <v>182911</v>
      </c>
      <c r="G640" s="245"/>
      <c r="H640" s="245"/>
      <c r="I640" s="245"/>
      <c r="J640" s="245"/>
      <c r="K640" s="245"/>
      <c r="L640" s="245"/>
      <c r="M640" s="245"/>
      <c r="N640" s="245"/>
      <c r="O640" s="245"/>
      <c r="P640" s="245"/>
      <c r="Q640" s="177">
        <f>SUM(G640:P640)</f>
        <v>0</v>
      </c>
      <c r="R640" s="706"/>
    </row>
    <row r="641" spans="1:18" ht="15" customHeight="1" x14ac:dyDescent="0.25">
      <c r="A641" s="198"/>
      <c r="B641" s="198"/>
      <c r="C641" s="196"/>
      <c r="D641" s="196" t="s">
        <v>791</v>
      </c>
      <c r="E641" s="197"/>
      <c r="F641" s="197"/>
      <c r="G641" s="261">
        <f>SUM(G634:G640)</f>
        <v>0</v>
      </c>
      <c r="H641" s="261">
        <f t="shared" ref="H641:Q641" si="51">SUM(H634:H640)</f>
        <v>0</v>
      </c>
      <c r="I641" s="261">
        <f t="shared" si="51"/>
        <v>-9525</v>
      </c>
      <c r="J641" s="261">
        <f t="shared" si="51"/>
        <v>0</v>
      </c>
      <c r="K641" s="261">
        <f t="shared" si="51"/>
        <v>0</v>
      </c>
      <c r="L641" s="261">
        <f t="shared" si="51"/>
        <v>0</v>
      </c>
      <c r="M641" s="261">
        <f t="shared" si="51"/>
        <v>9525</v>
      </c>
      <c r="N641" s="261">
        <f t="shared" si="51"/>
        <v>0</v>
      </c>
      <c r="O641" s="261">
        <f t="shared" si="51"/>
        <v>0</v>
      </c>
      <c r="P641" s="261">
        <f t="shared" si="51"/>
        <v>0</v>
      </c>
      <c r="Q641" s="261">
        <f t="shared" si="51"/>
        <v>0</v>
      </c>
      <c r="R641" s="707"/>
    </row>
    <row r="642" spans="1:18" ht="15" customHeight="1" x14ac:dyDescent="0.25">
      <c r="A642" s="172">
        <v>1</v>
      </c>
      <c r="B642" s="172">
        <v>19</v>
      </c>
      <c r="C642" s="188"/>
      <c r="D642" s="221" t="s">
        <v>792</v>
      </c>
      <c r="E642" s="200"/>
      <c r="F642" s="200"/>
      <c r="G642" s="151"/>
      <c r="H642" s="177"/>
      <c r="I642" s="177"/>
      <c r="J642" s="177"/>
      <c r="K642" s="177"/>
      <c r="L642" s="177"/>
      <c r="M642" s="151"/>
      <c r="N642" s="151"/>
      <c r="O642" s="151"/>
      <c r="P642" s="151"/>
      <c r="Q642" s="151"/>
      <c r="R642" s="706"/>
    </row>
    <row r="643" spans="1:18" ht="15" customHeight="1" x14ac:dyDescent="0.25">
      <c r="A643" s="172"/>
      <c r="B643" s="172"/>
      <c r="C643" s="188"/>
      <c r="D643" s="185" t="s">
        <v>793</v>
      </c>
      <c r="E643" s="204"/>
      <c r="F643" s="204"/>
      <c r="G643" s="151"/>
      <c r="H643" s="177"/>
      <c r="I643" s="177"/>
      <c r="J643" s="177"/>
      <c r="K643" s="177"/>
      <c r="L643" s="177"/>
      <c r="M643" s="151"/>
      <c r="N643" s="151"/>
      <c r="O643" s="151"/>
      <c r="P643" s="151"/>
      <c r="Q643" s="151"/>
      <c r="R643" s="706"/>
    </row>
    <row r="644" spans="1:18" ht="15" customHeight="1" x14ac:dyDescent="0.25">
      <c r="A644" s="172"/>
      <c r="B644" s="172"/>
      <c r="C644" s="188"/>
      <c r="D644" s="186" t="s">
        <v>1084</v>
      </c>
      <c r="E644" s="183">
        <v>1</v>
      </c>
      <c r="F644" s="151">
        <v>191101</v>
      </c>
      <c r="G644" s="151"/>
      <c r="H644" s="151"/>
      <c r="I644" s="151"/>
      <c r="J644" s="151"/>
      <c r="K644" s="151">
        <v>3000</v>
      </c>
      <c r="L644" s="151"/>
      <c r="M644" s="151"/>
      <c r="N644" s="151"/>
      <c r="O644" s="151"/>
      <c r="P644" s="151"/>
      <c r="Q644" s="151">
        <f>SUM(G644:P644)</f>
        <v>3000</v>
      </c>
      <c r="R644" s="706" t="s">
        <v>1295</v>
      </c>
    </row>
    <row r="645" spans="1:18" ht="15" hidden="1" customHeight="1" x14ac:dyDescent="0.25">
      <c r="A645" s="172"/>
      <c r="B645" s="172"/>
      <c r="C645" s="188"/>
      <c r="D645" s="186" t="s">
        <v>1085</v>
      </c>
      <c r="E645" s="183">
        <v>1</v>
      </c>
      <c r="F645" s="151">
        <v>191901</v>
      </c>
      <c r="G645" s="151"/>
      <c r="H645" s="151"/>
      <c r="I645" s="151"/>
      <c r="J645" s="151"/>
      <c r="K645" s="151"/>
      <c r="L645" s="151"/>
      <c r="M645" s="151"/>
      <c r="N645" s="151"/>
      <c r="O645" s="151"/>
      <c r="P645" s="151"/>
      <c r="Q645" s="151">
        <f>SUM(G645:P645)</f>
        <v>0</v>
      </c>
      <c r="R645" s="706"/>
    </row>
    <row r="646" spans="1:18" ht="15" hidden="1" customHeight="1" x14ac:dyDescent="0.25">
      <c r="A646" s="172"/>
      <c r="B646" s="172"/>
      <c r="C646" s="188"/>
      <c r="D646" s="186" t="s">
        <v>794</v>
      </c>
      <c r="E646" s="183">
        <v>1</v>
      </c>
      <c r="F646" s="151">
        <v>191901</v>
      </c>
      <c r="G646" s="151"/>
      <c r="H646" s="151"/>
      <c r="I646" s="151"/>
      <c r="J646" s="151"/>
      <c r="K646" s="151"/>
      <c r="L646" s="151"/>
      <c r="M646" s="151"/>
      <c r="N646" s="151"/>
      <c r="O646" s="151"/>
      <c r="P646" s="151"/>
      <c r="Q646" s="151">
        <f>SUM(G646:P646)</f>
        <v>0</v>
      </c>
      <c r="R646" s="706"/>
    </row>
    <row r="647" spans="1:18" ht="15" customHeight="1" x14ac:dyDescent="0.25">
      <c r="A647" s="172"/>
      <c r="B647" s="172"/>
      <c r="C647" s="188"/>
      <c r="D647" s="189" t="s">
        <v>216</v>
      </c>
      <c r="E647" s="208"/>
      <c r="F647" s="208"/>
      <c r="G647" s="151"/>
      <c r="H647" s="151"/>
      <c r="I647" s="151"/>
      <c r="J647" s="151"/>
      <c r="K647" s="151"/>
      <c r="L647" s="151"/>
      <c r="M647" s="151"/>
      <c r="N647" s="151"/>
      <c r="O647" s="151"/>
      <c r="P647" s="151"/>
      <c r="Q647" s="151"/>
      <c r="R647" s="706"/>
    </row>
    <row r="648" spans="1:18" ht="15" hidden="1" customHeight="1" x14ac:dyDescent="0.25">
      <c r="A648" s="172"/>
      <c r="B648" s="172"/>
      <c r="C648" s="188"/>
      <c r="D648" s="186" t="s">
        <v>795</v>
      </c>
      <c r="E648" s="183">
        <v>1</v>
      </c>
      <c r="F648" s="151">
        <v>191102</v>
      </c>
      <c r="G648" s="151"/>
      <c r="H648" s="151"/>
      <c r="I648" s="151"/>
      <c r="J648" s="151"/>
      <c r="K648" s="151"/>
      <c r="L648" s="151"/>
      <c r="M648" s="151"/>
      <c r="N648" s="151"/>
      <c r="O648" s="151"/>
      <c r="P648" s="151"/>
      <c r="Q648" s="151">
        <f t="shared" ref="Q648:Q651" si="52">SUM(G648:P648)</f>
        <v>0</v>
      </c>
      <c r="R648" s="706"/>
    </row>
    <row r="649" spans="1:18" ht="15" customHeight="1" x14ac:dyDescent="0.25">
      <c r="A649" s="172"/>
      <c r="B649" s="172"/>
      <c r="C649" s="188"/>
      <c r="D649" s="566" t="s">
        <v>796</v>
      </c>
      <c r="E649" s="151">
        <v>1</v>
      </c>
      <c r="F649" s="151">
        <v>191103</v>
      </c>
      <c r="G649" s="151"/>
      <c r="H649" s="151"/>
      <c r="I649" s="268">
        <v>1590</v>
      </c>
      <c r="J649" s="151"/>
      <c r="K649" s="151"/>
      <c r="L649" s="151"/>
      <c r="M649" s="151"/>
      <c r="N649" s="151"/>
      <c r="O649" s="151"/>
      <c r="P649" s="151"/>
      <c r="Q649" s="151">
        <f t="shared" si="52"/>
        <v>1590</v>
      </c>
      <c r="R649" s="706" t="s">
        <v>1294</v>
      </c>
    </row>
    <row r="650" spans="1:18" ht="15" hidden="1" customHeight="1" x14ac:dyDescent="0.25">
      <c r="A650" s="172"/>
      <c r="B650" s="172"/>
      <c r="C650" s="188"/>
      <c r="D650" s="186" t="s">
        <v>797</v>
      </c>
      <c r="E650" s="151">
        <v>1</v>
      </c>
      <c r="F650" s="151">
        <v>191105</v>
      </c>
      <c r="G650" s="151"/>
      <c r="H650" s="151"/>
      <c r="I650" s="151"/>
      <c r="J650" s="151"/>
      <c r="K650" s="151"/>
      <c r="L650" s="151"/>
      <c r="M650" s="151"/>
      <c r="N650" s="151"/>
      <c r="O650" s="151"/>
      <c r="P650" s="151"/>
      <c r="Q650" s="151">
        <f t="shared" si="52"/>
        <v>0</v>
      </c>
      <c r="R650" s="706"/>
    </row>
    <row r="651" spans="1:18" ht="15" hidden="1" customHeight="1" x14ac:dyDescent="0.25">
      <c r="A651" s="172"/>
      <c r="B651" s="172"/>
      <c r="C651" s="188"/>
      <c r="D651" s="186" t="s">
        <v>798</v>
      </c>
      <c r="E651" s="151">
        <v>1</v>
      </c>
      <c r="F651" s="151">
        <v>196901</v>
      </c>
      <c r="G651" s="151"/>
      <c r="H651" s="151"/>
      <c r="I651" s="151"/>
      <c r="J651" s="151"/>
      <c r="K651" s="151"/>
      <c r="L651" s="151"/>
      <c r="M651" s="151"/>
      <c r="N651" s="151"/>
      <c r="O651" s="151"/>
      <c r="P651" s="151"/>
      <c r="Q651" s="151">
        <f t="shared" si="52"/>
        <v>0</v>
      </c>
      <c r="R651" s="706"/>
    </row>
    <row r="652" spans="1:18" ht="15" hidden="1" customHeight="1" x14ac:dyDescent="0.25">
      <c r="A652" s="172"/>
      <c r="B652" s="172"/>
      <c r="C652" s="188"/>
      <c r="D652" s="186" t="s">
        <v>225</v>
      </c>
      <c r="E652" s="151"/>
      <c r="F652" s="151"/>
      <c r="G652" s="151"/>
      <c r="H652" s="151"/>
      <c r="I652" s="151"/>
      <c r="J652" s="151"/>
      <c r="K652" s="151"/>
      <c r="L652" s="151"/>
      <c r="M652" s="151"/>
      <c r="N652" s="151"/>
      <c r="O652" s="151"/>
      <c r="P652" s="151"/>
      <c r="Q652" s="151"/>
      <c r="R652" s="706"/>
    </row>
    <row r="653" spans="1:18" ht="15" hidden="1" customHeight="1" x14ac:dyDescent="0.25">
      <c r="A653" s="172"/>
      <c r="B653" s="172"/>
      <c r="C653" s="188"/>
      <c r="D653" s="186" t="s">
        <v>799</v>
      </c>
      <c r="E653" s="151">
        <v>1</v>
      </c>
      <c r="F653" s="151">
        <v>191104</v>
      </c>
      <c r="G653" s="151"/>
      <c r="H653" s="151"/>
      <c r="I653" s="151"/>
      <c r="J653" s="151"/>
      <c r="K653" s="151"/>
      <c r="L653" s="151"/>
      <c r="M653" s="151"/>
      <c r="N653" s="151"/>
      <c r="O653" s="151"/>
      <c r="P653" s="151"/>
      <c r="Q653" s="151">
        <f>SUM(G653:P653)</f>
        <v>0</v>
      </c>
      <c r="R653" s="706"/>
    </row>
    <row r="654" spans="1:18" ht="14.1" hidden="1" customHeight="1" x14ac:dyDescent="0.25">
      <c r="A654" s="172"/>
      <c r="B654" s="172"/>
      <c r="C654" s="188"/>
      <c r="D654" s="190" t="s">
        <v>800</v>
      </c>
      <c r="E654" s="151"/>
      <c r="F654" s="151"/>
      <c r="G654" s="151"/>
      <c r="H654" s="151"/>
      <c r="I654" s="151"/>
      <c r="J654" s="151"/>
      <c r="K654" s="151"/>
      <c r="L654" s="151"/>
      <c r="M654" s="151"/>
      <c r="N654" s="151"/>
      <c r="O654" s="151"/>
      <c r="P654" s="151"/>
      <c r="Q654" s="151"/>
      <c r="R654" s="706"/>
    </row>
    <row r="655" spans="1:18" ht="14.1" hidden="1" customHeight="1" x14ac:dyDescent="0.25">
      <c r="A655" s="172"/>
      <c r="B655" s="172"/>
      <c r="C655" s="188"/>
      <c r="D655" s="186" t="s">
        <v>801</v>
      </c>
      <c r="E655" s="151">
        <v>2</v>
      </c>
      <c r="F655" s="151">
        <v>191109</v>
      </c>
      <c r="G655" s="151"/>
      <c r="H655" s="151"/>
      <c r="I655" s="151"/>
      <c r="J655" s="151"/>
      <c r="K655" s="151"/>
      <c r="L655" s="151"/>
      <c r="M655" s="151"/>
      <c r="N655" s="151"/>
      <c r="O655" s="151"/>
      <c r="P655" s="151"/>
      <c r="Q655" s="151">
        <f>SUM(G655:P655)</f>
        <v>0</v>
      </c>
      <c r="R655" s="706"/>
    </row>
    <row r="656" spans="1:18" ht="15" customHeight="1" x14ac:dyDescent="0.25">
      <c r="A656" s="172"/>
      <c r="B656" s="172"/>
      <c r="C656" s="188"/>
      <c r="D656" s="189" t="s">
        <v>216</v>
      </c>
      <c r="E656" s="208"/>
      <c r="F656" s="208"/>
      <c r="G656" s="151"/>
      <c r="H656" s="151"/>
      <c r="I656" s="151"/>
      <c r="J656" s="151"/>
      <c r="K656" s="151"/>
      <c r="L656" s="151"/>
      <c r="M656" s="151"/>
      <c r="N656" s="151"/>
      <c r="O656" s="151"/>
      <c r="P656" s="151"/>
      <c r="Q656" s="151"/>
      <c r="R656" s="706"/>
    </row>
    <row r="657" spans="1:18" ht="17.25" customHeight="1" x14ac:dyDescent="0.25">
      <c r="A657" s="172"/>
      <c r="B657" s="172"/>
      <c r="C657" s="188"/>
      <c r="D657" s="205" t="s">
        <v>804</v>
      </c>
      <c r="E657" s="183">
        <v>1</v>
      </c>
      <c r="F657" s="151">
        <v>191905</v>
      </c>
      <c r="G657" s="151"/>
      <c r="H657" s="151"/>
      <c r="I657" s="151"/>
      <c r="J657" s="151"/>
      <c r="K657" s="151">
        <v>20005</v>
      </c>
      <c r="L657" s="151"/>
      <c r="M657" s="151"/>
      <c r="N657" s="151"/>
      <c r="O657" s="151"/>
      <c r="P657" s="151"/>
      <c r="Q657" s="151">
        <f>SUM(G657:P657)</f>
        <v>20005</v>
      </c>
      <c r="R657" s="706" t="s">
        <v>1294</v>
      </c>
    </row>
    <row r="658" spans="1:18" ht="15" hidden="1" customHeight="1" x14ac:dyDescent="0.25">
      <c r="A658" s="172"/>
      <c r="B658" s="172"/>
      <c r="C658" s="188"/>
      <c r="D658" s="189" t="s">
        <v>216</v>
      </c>
      <c r="E658" s="208"/>
      <c r="F658" s="208"/>
      <c r="G658" s="151"/>
      <c r="H658" s="151"/>
      <c r="I658" s="151"/>
      <c r="J658" s="151"/>
      <c r="K658" s="151"/>
      <c r="L658" s="151"/>
      <c r="M658" s="151"/>
      <c r="N658" s="151"/>
      <c r="O658" s="151"/>
      <c r="P658" s="151"/>
      <c r="Q658" s="151"/>
      <c r="R658" s="706"/>
    </row>
    <row r="659" spans="1:18" ht="17.25" hidden="1" customHeight="1" x14ac:dyDescent="0.25">
      <c r="A659" s="172"/>
      <c r="B659" s="172"/>
      <c r="C659" s="188"/>
      <c r="D659" s="186" t="s">
        <v>805</v>
      </c>
      <c r="E659" s="151">
        <v>1</v>
      </c>
      <c r="F659" s="151">
        <v>191121</v>
      </c>
      <c r="G659" s="151"/>
      <c r="H659" s="151"/>
      <c r="I659" s="151"/>
      <c r="J659" s="151"/>
      <c r="K659" s="151"/>
      <c r="L659" s="151"/>
      <c r="M659" s="151"/>
      <c r="N659" s="151"/>
      <c r="O659" s="151"/>
      <c r="P659" s="151"/>
      <c r="Q659" s="151">
        <f>SUM(G659:P659)</f>
        <v>0</v>
      </c>
      <c r="R659" s="706"/>
    </row>
    <row r="660" spans="1:18" ht="21" hidden="1" customHeight="1" x14ac:dyDescent="0.25">
      <c r="A660" s="172"/>
      <c r="B660" s="172"/>
      <c r="C660" s="188"/>
      <c r="D660" s="193" t="s">
        <v>303</v>
      </c>
      <c r="E660" s="208"/>
      <c r="F660" s="208"/>
      <c r="G660" s="151"/>
      <c r="H660" s="151"/>
      <c r="I660" s="151"/>
      <c r="J660" s="151"/>
      <c r="K660" s="151"/>
      <c r="L660" s="151"/>
      <c r="M660" s="151"/>
      <c r="N660" s="151"/>
      <c r="O660" s="151"/>
      <c r="P660" s="151"/>
      <c r="Q660" s="151"/>
      <c r="R660" s="706"/>
    </row>
    <row r="661" spans="1:18" ht="26.25" hidden="1" customHeight="1" x14ac:dyDescent="0.25">
      <c r="A661" s="172"/>
      <c r="B661" s="172"/>
      <c r="C661" s="188"/>
      <c r="D661" s="193" t="s">
        <v>806</v>
      </c>
      <c r="E661" s="208">
        <v>1</v>
      </c>
      <c r="F661" s="210">
        <v>191152</v>
      </c>
      <c r="G661" s="151"/>
      <c r="H661" s="151"/>
      <c r="I661" s="151"/>
      <c r="J661" s="151"/>
      <c r="K661" s="151"/>
      <c r="L661" s="151"/>
      <c r="M661" s="151"/>
      <c r="N661" s="151"/>
      <c r="O661" s="151"/>
      <c r="P661" s="151"/>
      <c r="Q661" s="151">
        <f>SUM(G661:P661)</f>
        <v>0</v>
      </c>
      <c r="R661" s="706"/>
    </row>
    <row r="662" spans="1:18" ht="21.6" hidden="1" customHeight="1" x14ac:dyDescent="0.25">
      <c r="A662" s="172"/>
      <c r="B662" s="172"/>
      <c r="C662" s="188"/>
      <c r="D662" s="210" t="s">
        <v>807</v>
      </c>
      <c r="E662" s="208">
        <v>2</v>
      </c>
      <c r="F662" s="210">
        <v>196919</v>
      </c>
      <c r="G662" s="151"/>
      <c r="H662" s="151"/>
      <c r="I662" s="151"/>
      <c r="J662" s="151"/>
      <c r="K662" s="151"/>
      <c r="L662" s="151"/>
      <c r="M662" s="151"/>
      <c r="N662" s="151"/>
      <c r="O662" s="151"/>
      <c r="P662" s="151"/>
      <c r="Q662" s="151">
        <f>SUM(G662:P662)</f>
        <v>0</v>
      </c>
      <c r="R662" s="706"/>
    </row>
    <row r="663" spans="1:18" ht="17.100000000000001" customHeight="1" x14ac:dyDescent="0.25">
      <c r="A663" s="172"/>
      <c r="B663" s="172"/>
      <c r="C663" s="188"/>
      <c r="D663" s="186" t="s">
        <v>808</v>
      </c>
      <c r="E663" s="151"/>
      <c r="F663" s="249"/>
      <c r="G663" s="151"/>
      <c r="H663" s="151"/>
      <c r="I663" s="151"/>
      <c r="J663" s="151"/>
      <c r="K663" s="151"/>
      <c r="L663" s="151"/>
      <c r="M663" s="151"/>
      <c r="N663" s="151"/>
      <c r="O663" s="151"/>
      <c r="P663" s="151"/>
      <c r="Q663" s="151"/>
      <c r="R663" s="706"/>
    </row>
    <row r="664" spans="1:18" ht="17.100000000000001" customHeight="1" x14ac:dyDescent="0.25">
      <c r="A664" s="172"/>
      <c r="B664" s="172"/>
      <c r="C664" s="188"/>
      <c r="D664" s="186" t="s">
        <v>809</v>
      </c>
      <c r="E664" s="151">
        <v>2</v>
      </c>
      <c r="F664" s="250" t="s">
        <v>810</v>
      </c>
      <c r="G664" s="151"/>
      <c r="H664" s="151"/>
      <c r="I664" s="151"/>
      <c r="J664" s="151"/>
      <c r="K664" s="151">
        <v>-100</v>
      </c>
      <c r="L664" s="151"/>
      <c r="M664" s="151"/>
      <c r="N664" s="151">
        <v>100</v>
      </c>
      <c r="O664" s="151"/>
      <c r="P664" s="151"/>
      <c r="Q664" s="151">
        <f>SUM(G664:P664)</f>
        <v>0</v>
      </c>
      <c r="R664" s="706" t="s">
        <v>1306</v>
      </c>
    </row>
    <row r="665" spans="1:18" ht="17.100000000000001" customHeight="1" x14ac:dyDescent="0.25">
      <c r="A665" s="194"/>
      <c r="B665" s="194"/>
      <c r="C665" s="195"/>
      <c r="D665" s="196" t="s">
        <v>811</v>
      </c>
      <c r="E665" s="197"/>
      <c r="F665" s="197"/>
      <c r="G665" s="198">
        <f t="shared" ref="G665:Q665" si="53">SUM(G642:G664)</f>
        <v>0</v>
      </c>
      <c r="H665" s="198">
        <f t="shared" si="53"/>
        <v>0</v>
      </c>
      <c r="I665" s="198">
        <f t="shared" si="53"/>
        <v>1590</v>
      </c>
      <c r="J665" s="198">
        <f t="shared" si="53"/>
        <v>0</v>
      </c>
      <c r="K665" s="198">
        <f t="shared" si="53"/>
        <v>22905</v>
      </c>
      <c r="L665" s="198">
        <f t="shared" si="53"/>
        <v>0</v>
      </c>
      <c r="M665" s="198">
        <f t="shared" si="53"/>
        <v>0</v>
      </c>
      <c r="N665" s="198">
        <f t="shared" si="53"/>
        <v>100</v>
      </c>
      <c r="O665" s="198">
        <f t="shared" si="53"/>
        <v>0</v>
      </c>
      <c r="P665" s="198">
        <f t="shared" si="53"/>
        <v>0</v>
      </c>
      <c r="Q665" s="198">
        <f t="shared" si="53"/>
        <v>24595</v>
      </c>
      <c r="R665" s="707"/>
    </row>
    <row r="666" spans="1:18" ht="17.100000000000001" customHeight="1" x14ac:dyDescent="0.25">
      <c r="A666" s="199"/>
      <c r="B666" s="199"/>
      <c r="C666" s="217"/>
      <c r="D666" s="218" t="s">
        <v>788</v>
      </c>
      <c r="E666" s="201"/>
      <c r="F666" s="201"/>
      <c r="G666" s="202"/>
      <c r="H666" s="202"/>
      <c r="I666" s="202"/>
      <c r="J666" s="202"/>
      <c r="K666" s="202"/>
      <c r="L666" s="202"/>
      <c r="M666" s="202"/>
      <c r="N666" s="202"/>
      <c r="O666" s="202"/>
      <c r="P666" s="202"/>
      <c r="Q666" s="202"/>
      <c r="R666" s="706"/>
    </row>
    <row r="667" spans="1:18" ht="28.2" hidden="1" customHeight="1" x14ac:dyDescent="0.25">
      <c r="A667" s="199"/>
      <c r="B667" s="199"/>
      <c r="C667" s="188" t="s">
        <v>92</v>
      </c>
      <c r="D667" s="193" t="s">
        <v>1087</v>
      </c>
      <c r="E667" s="201"/>
      <c r="F667" s="200">
        <v>192909</v>
      </c>
      <c r="G667" s="202"/>
      <c r="H667" s="202"/>
      <c r="I667" s="202"/>
      <c r="J667" s="202"/>
      <c r="K667" s="202"/>
      <c r="L667" s="202"/>
      <c r="M667" s="202"/>
      <c r="N667" s="151"/>
      <c r="O667" s="151"/>
      <c r="P667" s="151"/>
      <c r="Q667" s="151">
        <f>SUM(G667:P667)</f>
        <v>0</v>
      </c>
      <c r="R667" s="706"/>
    </row>
    <row r="668" spans="1:18" ht="17.100000000000001" customHeight="1" x14ac:dyDescent="0.25">
      <c r="A668" s="194">
        <v>1</v>
      </c>
      <c r="B668" s="194">
        <v>20</v>
      </c>
      <c r="C668" s="195"/>
      <c r="D668" s="196" t="s">
        <v>317</v>
      </c>
      <c r="E668" s="197"/>
      <c r="F668" s="197"/>
      <c r="G668" s="198">
        <f t="shared" ref="G668:M668" si="54">SUM(G665:G667)</f>
        <v>0</v>
      </c>
      <c r="H668" s="198">
        <f t="shared" si="54"/>
        <v>0</v>
      </c>
      <c r="I668" s="198">
        <f t="shared" si="54"/>
        <v>1590</v>
      </c>
      <c r="J668" s="198">
        <f t="shared" si="54"/>
        <v>0</v>
      </c>
      <c r="K668" s="198">
        <f t="shared" si="54"/>
        <v>22905</v>
      </c>
      <c r="L668" s="198">
        <f t="shared" si="54"/>
        <v>0</v>
      </c>
      <c r="M668" s="198">
        <f t="shared" si="54"/>
        <v>0</v>
      </c>
      <c r="N668" s="198">
        <f>SUM(N665:N667)</f>
        <v>100</v>
      </c>
      <c r="O668" s="198">
        <f t="shared" ref="O668:Q668" si="55">SUM(O665:O667)</f>
        <v>0</v>
      </c>
      <c r="P668" s="198">
        <f t="shared" si="55"/>
        <v>0</v>
      </c>
      <c r="Q668" s="198">
        <f t="shared" si="55"/>
        <v>24595</v>
      </c>
      <c r="R668" s="707"/>
    </row>
    <row r="669" spans="1:18" ht="17.100000000000001" customHeight="1" x14ac:dyDescent="0.25">
      <c r="A669" s="199"/>
      <c r="B669" s="199"/>
      <c r="C669" s="217"/>
      <c r="D669" s="221" t="s">
        <v>1088</v>
      </c>
      <c r="E669" s="201"/>
      <c r="F669" s="201"/>
      <c r="G669" s="202"/>
      <c r="H669" s="202"/>
      <c r="I669" s="202"/>
      <c r="J669" s="202"/>
      <c r="K669" s="202"/>
      <c r="L669" s="202"/>
      <c r="M669" s="202"/>
      <c r="N669" s="202"/>
      <c r="O669" s="202"/>
      <c r="P669" s="202"/>
      <c r="Q669" s="202"/>
      <c r="R669" s="706"/>
    </row>
    <row r="670" spans="1:18" ht="17.100000000000001" customHeight="1" x14ac:dyDescent="0.25">
      <c r="A670" s="199"/>
      <c r="B670" s="199"/>
      <c r="C670" s="217"/>
      <c r="D670" s="482" t="s">
        <v>216</v>
      </c>
      <c r="E670" s="201"/>
      <c r="F670" s="201"/>
      <c r="G670" s="202"/>
      <c r="H670" s="202"/>
      <c r="I670" s="202"/>
      <c r="J670" s="202"/>
      <c r="K670" s="202"/>
      <c r="L670" s="202"/>
      <c r="M670" s="202"/>
      <c r="N670" s="202"/>
      <c r="O670" s="202"/>
      <c r="P670" s="202"/>
      <c r="Q670" s="202"/>
      <c r="R670" s="706"/>
    </row>
    <row r="671" spans="1:18" ht="17.100000000000001" customHeight="1" x14ac:dyDescent="0.25">
      <c r="A671" s="194"/>
      <c r="B671" s="194"/>
      <c r="C671" s="195"/>
      <c r="D671" s="196" t="s">
        <v>1089</v>
      </c>
      <c r="E671" s="197"/>
      <c r="F671" s="197"/>
      <c r="G671" s="198"/>
      <c r="H671" s="198"/>
      <c r="I671" s="198"/>
      <c r="J671" s="198"/>
      <c r="K671" s="198"/>
      <c r="L671" s="198"/>
      <c r="M671" s="198"/>
      <c r="N671" s="198"/>
      <c r="O671" s="198"/>
      <c r="P671" s="198"/>
      <c r="Q671" s="198"/>
      <c r="R671" s="707"/>
    </row>
    <row r="672" spans="1:18" ht="17.100000000000001" customHeight="1" x14ac:dyDescent="0.25">
      <c r="A672" s="251">
        <v>1</v>
      </c>
      <c r="B672" s="251" t="s">
        <v>812</v>
      </c>
      <c r="C672" s="252"/>
      <c r="D672" s="430" t="s">
        <v>813</v>
      </c>
      <c r="E672" s="253"/>
      <c r="F672" s="253"/>
      <c r="G672" s="254"/>
      <c r="H672" s="177"/>
      <c r="I672" s="177"/>
      <c r="J672" s="177"/>
      <c r="K672" s="177"/>
      <c r="L672" s="177"/>
      <c r="M672" s="151"/>
      <c r="N672" s="151"/>
      <c r="O672" s="254"/>
      <c r="P672" s="254"/>
      <c r="Q672" s="254"/>
      <c r="R672" s="706"/>
    </row>
    <row r="673" spans="1:18" ht="17.100000000000001" customHeight="1" x14ac:dyDescent="0.25">
      <c r="A673" s="251"/>
      <c r="B673" s="251"/>
      <c r="C673" s="252"/>
      <c r="D673" s="189" t="s">
        <v>216</v>
      </c>
      <c r="E673" s="204"/>
      <c r="F673" s="204"/>
      <c r="G673" s="254"/>
      <c r="H673" s="177"/>
      <c r="I673" s="177"/>
      <c r="J673" s="177"/>
      <c r="K673" s="177"/>
      <c r="L673" s="177"/>
      <c r="M673" s="151"/>
      <c r="N673" s="151"/>
      <c r="O673" s="254"/>
      <c r="P673" s="254"/>
      <c r="Q673" s="254"/>
      <c r="R673" s="706"/>
    </row>
    <row r="674" spans="1:18" ht="17.100000000000001" hidden="1" customHeight="1" x14ac:dyDescent="0.25">
      <c r="A674" s="251"/>
      <c r="B674" s="251"/>
      <c r="C674" s="252"/>
      <c r="D674" s="190" t="s">
        <v>814</v>
      </c>
      <c r="E674" s="243">
        <v>2</v>
      </c>
      <c r="F674" s="243">
        <v>221901</v>
      </c>
      <c r="G674" s="255"/>
      <c r="H674" s="255"/>
      <c r="I674" s="255"/>
      <c r="J674" s="255"/>
      <c r="K674" s="255"/>
      <c r="L674" s="255"/>
      <c r="M674" s="255"/>
      <c r="N674" s="255"/>
      <c r="O674" s="255"/>
      <c r="P674" s="255"/>
      <c r="Q674" s="243">
        <f t="shared" ref="Q674:Q686" si="56">SUM(G674:P674)</f>
        <v>0</v>
      </c>
      <c r="R674" s="706"/>
    </row>
    <row r="675" spans="1:18" ht="17.100000000000001" customHeight="1" x14ac:dyDescent="0.25">
      <c r="A675" s="251"/>
      <c r="B675" s="251"/>
      <c r="C675" s="252"/>
      <c r="D675" s="185" t="s">
        <v>815</v>
      </c>
      <c r="E675" s="192">
        <v>1</v>
      </c>
      <c r="F675" s="151">
        <v>221912</v>
      </c>
      <c r="G675" s="255"/>
      <c r="H675" s="255"/>
      <c r="I675" s="255">
        <v>-138</v>
      </c>
      <c r="J675" s="255"/>
      <c r="K675" s="255"/>
      <c r="L675" s="255"/>
      <c r="M675" s="255"/>
      <c r="N675" s="255"/>
      <c r="O675" s="255"/>
      <c r="P675" s="255"/>
      <c r="Q675" s="243">
        <f t="shared" si="56"/>
        <v>-138</v>
      </c>
      <c r="R675" s="706" t="s">
        <v>1295</v>
      </c>
    </row>
    <row r="676" spans="1:18" ht="17.100000000000001" customHeight="1" x14ac:dyDescent="0.25">
      <c r="A676" s="251"/>
      <c r="B676" s="251"/>
      <c r="C676" s="252"/>
      <c r="D676" s="193" t="s">
        <v>943</v>
      </c>
      <c r="E676" s="192">
        <v>2</v>
      </c>
      <c r="F676" s="151">
        <v>221956</v>
      </c>
      <c r="G676" s="255"/>
      <c r="H676" s="255"/>
      <c r="I676" s="255">
        <v>-7000</v>
      </c>
      <c r="J676" s="255"/>
      <c r="K676" s="255">
        <v>7000</v>
      </c>
      <c r="L676" s="255"/>
      <c r="M676" s="255"/>
      <c r="N676" s="255"/>
      <c r="O676" s="255"/>
      <c r="P676" s="255"/>
      <c r="Q676" s="243">
        <f t="shared" si="56"/>
        <v>0</v>
      </c>
      <c r="R676" s="706" t="s">
        <v>1295</v>
      </c>
    </row>
    <row r="677" spans="1:18" ht="17.100000000000001" hidden="1" customHeight="1" x14ac:dyDescent="0.25">
      <c r="A677" s="251"/>
      <c r="B677" s="251"/>
      <c r="C677" s="252"/>
      <c r="D677" s="185" t="s">
        <v>816</v>
      </c>
      <c r="E677" s="192">
        <v>2</v>
      </c>
      <c r="F677" s="151">
        <v>221916</v>
      </c>
      <c r="G677" s="255"/>
      <c r="H677" s="255"/>
      <c r="I677" s="255"/>
      <c r="J677" s="255"/>
      <c r="K677" s="255"/>
      <c r="L677" s="255"/>
      <c r="M677" s="255"/>
      <c r="N677" s="255"/>
      <c r="O677" s="255"/>
      <c r="P677" s="255"/>
      <c r="Q677" s="243">
        <f t="shared" si="56"/>
        <v>0</v>
      </c>
      <c r="R677" s="706"/>
    </row>
    <row r="678" spans="1:18" ht="17.100000000000001" hidden="1" customHeight="1" x14ac:dyDescent="0.25">
      <c r="A678" s="251"/>
      <c r="B678" s="251"/>
      <c r="C678" s="252"/>
      <c r="D678" s="186" t="s">
        <v>817</v>
      </c>
      <c r="E678" s="192">
        <v>2</v>
      </c>
      <c r="F678" s="151">
        <v>221904</v>
      </c>
      <c r="G678" s="255"/>
      <c r="H678" s="255"/>
      <c r="I678" s="255"/>
      <c r="J678" s="255"/>
      <c r="K678" s="255"/>
      <c r="L678" s="255"/>
      <c r="M678" s="255"/>
      <c r="N678" s="255"/>
      <c r="O678" s="255"/>
      <c r="P678" s="255"/>
      <c r="Q678" s="243">
        <f t="shared" si="56"/>
        <v>0</v>
      </c>
      <c r="R678" s="706"/>
    </row>
    <row r="679" spans="1:18" ht="17.100000000000001" hidden="1" customHeight="1" x14ac:dyDescent="0.25">
      <c r="A679" s="251"/>
      <c r="B679" s="251"/>
      <c r="C679" s="252"/>
      <c r="D679" s="186" t="s">
        <v>818</v>
      </c>
      <c r="E679" s="151">
        <v>2</v>
      </c>
      <c r="F679" s="151">
        <v>221922</v>
      </c>
      <c r="G679" s="255"/>
      <c r="H679" s="255"/>
      <c r="I679" s="255"/>
      <c r="J679" s="255"/>
      <c r="K679" s="255"/>
      <c r="L679" s="255"/>
      <c r="M679" s="255"/>
      <c r="N679" s="255"/>
      <c r="O679" s="255"/>
      <c r="P679" s="255"/>
      <c r="Q679" s="243">
        <f t="shared" si="56"/>
        <v>0</v>
      </c>
      <c r="R679" s="706"/>
    </row>
    <row r="680" spans="1:18" ht="17.100000000000001" hidden="1" customHeight="1" x14ac:dyDescent="0.25">
      <c r="A680" s="251"/>
      <c r="B680" s="251"/>
      <c r="C680" s="252"/>
      <c r="D680" s="186" t="s">
        <v>819</v>
      </c>
      <c r="E680" s="183">
        <v>2</v>
      </c>
      <c r="F680" s="151">
        <v>221939</v>
      </c>
      <c r="G680" s="255"/>
      <c r="H680" s="255"/>
      <c r="I680" s="255"/>
      <c r="J680" s="255"/>
      <c r="K680" s="255"/>
      <c r="L680" s="255"/>
      <c r="M680" s="255"/>
      <c r="N680" s="255"/>
      <c r="O680" s="255"/>
      <c r="P680" s="255"/>
      <c r="Q680" s="243">
        <f t="shared" si="56"/>
        <v>0</v>
      </c>
      <c r="R680" s="706"/>
    </row>
    <row r="681" spans="1:18" ht="17.100000000000001" hidden="1" customHeight="1" x14ac:dyDescent="0.25">
      <c r="A681" s="251"/>
      <c r="B681" s="251"/>
      <c r="C681" s="252"/>
      <c r="D681" s="186" t="s">
        <v>820</v>
      </c>
      <c r="E681" s="183">
        <v>2</v>
      </c>
      <c r="F681" s="151">
        <v>221927</v>
      </c>
      <c r="G681" s="255"/>
      <c r="H681" s="255"/>
      <c r="I681" s="255"/>
      <c r="J681" s="255"/>
      <c r="K681" s="255"/>
      <c r="L681" s="255"/>
      <c r="M681" s="255"/>
      <c r="N681" s="255"/>
      <c r="O681" s="255"/>
      <c r="P681" s="255"/>
      <c r="Q681" s="243">
        <f t="shared" si="56"/>
        <v>0</v>
      </c>
      <c r="R681" s="706"/>
    </row>
    <row r="682" spans="1:18" ht="24.75" hidden="1" customHeight="1" x14ac:dyDescent="0.25">
      <c r="A682" s="251"/>
      <c r="B682" s="251"/>
      <c r="C682" s="252"/>
      <c r="D682" s="431" t="s">
        <v>821</v>
      </c>
      <c r="E682" s="183">
        <v>2</v>
      </c>
      <c r="F682" s="151">
        <v>221935</v>
      </c>
      <c r="G682" s="255"/>
      <c r="H682" s="255"/>
      <c r="I682" s="255"/>
      <c r="J682" s="255"/>
      <c r="K682" s="255"/>
      <c r="L682" s="255"/>
      <c r="M682" s="255"/>
      <c r="N682" s="255"/>
      <c r="O682" s="255"/>
      <c r="P682" s="255"/>
      <c r="Q682" s="243">
        <f t="shared" si="56"/>
        <v>0</v>
      </c>
      <c r="R682" s="706"/>
    </row>
    <row r="683" spans="1:18" ht="17.100000000000001" hidden="1" customHeight="1" x14ac:dyDescent="0.25">
      <c r="A683" s="251"/>
      <c r="B683" s="251"/>
      <c r="C683" s="252"/>
      <c r="D683" s="186" t="s">
        <v>822</v>
      </c>
      <c r="E683" s="151">
        <v>2</v>
      </c>
      <c r="F683" s="151">
        <v>191110</v>
      </c>
      <c r="G683" s="255"/>
      <c r="H683" s="255"/>
      <c r="I683" s="255"/>
      <c r="J683" s="255"/>
      <c r="K683" s="255"/>
      <c r="L683" s="255"/>
      <c r="M683" s="255"/>
      <c r="N683" s="255"/>
      <c r="O683" s="255"/>
      <c r="P683" s="255"/>
      <c r="Q683" s="243">
        <f t="shared" si="56"/>
        <v>0</v>
      </c>
      <c r="R683" s="706"/>
    </row>
    <row r="684" spans="1:18" ht="17.100000000000001" hidden="1" customHeight="1" x14ac:dyDescent="0.25">
      <c r="A684" s="251"/>
      <c r="B684" s="251"/>
      <c r="C684" s="252"/>
      <c r="D684" s="186" t="s">
        <v>1090</v>
      </c>
      <c r="E684" s="151">
        <v>2</v>
      </c>
      <c r="F684" s="268">
        <v>221967</v>
      </c>
      <c r="G684" s="255"/>
      <c r="H684" s="255"/>
      <c r="I684" s="255"/>
      <c r="J684" s="255"/>
      <c r="K684" s="255"/>
      <c r="L684" s="255"/>
      <c r="M684" s="255"/>
      <c r="N684" s="255"/>
      <c r="O684" s="255"/>
      <c r="P684" s="255"/>
      <c r="Q684" s="243">
        <f t="shared" si="56"/>
        <v>0</v>
      </c>
      <c r="R684" s="706"/>
    </row>
    <row r="685" spans="1:18" ht="17.100000000000001" customHeight="1" x14ac:dyDescent="0.25">
      <c r="A685" s="251"/>
      <c r="B685" s="251"/>
      <c r="C685" s="252"/>
      <c r="D685" s="681" t="s">
        <v>1258</v>
      </c>
      <c r="E685" s="638">
        <v>2</v>
      </c>
      <c r="F685" s="638">
        <v>191139</v>
      </c>
      <c r="G685" s="255"/>
      <c r="H685" s="255"/>
      <c r="I685" s="255">
        <v>3810</v>
      </c>
      <c r="J685" s="255"/>
      <c r="K685" s="255">
        <v>-3810</v>
      </c>
      <c r="L685" s="255"/>
      <c r="M685" s="255"/>
      <c r="N685" s="255"/>
      <c r="O685" s="255"/>
      <c r="P685" s="255"/>
      <c r="Q685" s="243">
        <f t="shared" si="56"/>
        <v>0</v>
      </c>
      <c r="R685" s="706" t="s">
        <v>1294</v>
      </c>
    </row>
    <row r="686" spans="1:18" ht="17.100000000000001" hidden="1" customHeight="1" x14ac:dyDescent="0.25">
      <c r="A686" s="251"/>
      <c r="B686" s="251"/>
      <c r="C686" s="252"/>
      <c r="D686" s="186" t="s">
        <v>1235</v>
      </c>
      <c r="E686" s="151">
        <v>2</v>
      </c>
      <c r="F686" s="268">
        <v>221963</v>
      </c>
      <c r="G686" s="255"/>
      <c r="H686" s="255"/>
      <c r="I686" s="255"/>
      <c r="J686" s="255"/>
      <c r="K686" s="255"/>
      <c r="L686" s="255"/>
      <c r="M686" s="255"/>
      <c r="N686" s="255"/>
      <c r="O686" s="255"/>
      <c r="P686" s="255"/>
      <c r="Q686" s="243">
        <f t="shared" si="56"/>
        <v>0</v>
      </c>
      <c r="R686" s="706"/>
    </row>
    <row r="687" spans="1:18" ht="17.100000000000001" hidden="1" customHeight="1" x14ac:dyDescent="0.25">
      <c r="A687" s="251"/>
      <c r="B687" s="251"/>
      <c r="C687" s="252"/>
      <c r="D687" s="186" t="s">
        <v>823</v>
      </c>
      <c r="E687" s="183"/>
      <c r="F687" s="623"/>
      <c r="G687" s="255"/>
      <c r="H687" s="255"/>
      <c r="I687" s="255"/>
      <c r="J687" s="255"/>
      <c r="K687" s="255"/>
      <c r="L687" s="255"/>
      <c r="M687" s="255"/>
      <c r="N687" s="255"/>
      <c r="O687" s="255"/>
      <c r="P687" s="255"/>
      <c r="Q687" s="243"/>
      <c r="R687" s="706"/>
    </row>
    <row r="688" spans="1:18" ht="17.100000000000001" hidden="1" customHeight="1" x14ac:dyDescent="0.25">
      <c r="A688" s="251"/>
      <c r="B688" s="251"/>
      <c r="C688" s="252"/>
      <c r="D688" s="186" t="s">
        <v>824</v>
      </c>
      <c r="E688" s="151">
        <v>2</v>
      </c>
      <c r="F688" s="268">
        <v>191301</v>
      </c>
      <c r="G688" s="255"/>
      <c r="H688" s="255"/>
      <c r="I688" s="255"/>
      <c r="J688" s="255"/>
      <c r="K688" s="255"/>
      <c r="L688" s="255"/>
      <c r="M688" s="255"/>
      <c r="N688" s="255"/>
      <c r="O688" s="255"/>
      <c r="P688" s="255"/>
      <c r="Q688" s="243">
        <f>SUM(G688:P688)</f>
        <v>0</v>
      </c>
      <c r="R688" s="706"/>
    </row>
    <row r="689" spans="1:18" ht="17.100000000000001" hidden="1" customHeight="1" x14ac:dyDescent="0.25">
      <c r="A689" s="199"/>
      <c r="B689" s="199"/>
      <c r="C689" s="217"/>
      <c r="D689" s="186" t="s">
        <v>825</v>
      </c>
      <c r="E689" s="151">
        <v>2</v>
      </c>
      <c r="F689" s="268">
        <v>191302</v>
      </c>
      <c r="G689" s="192"/>
      <c r="H689" s="192"/>
      <c r="I689" s="192"/>
      <c r="J689" s="192"/>
      <c r="K689" s="192"/>
      <c r="L689" s="192"/>
      <c r="M689" s="192"/>
      <c r="N689" s="192"/>
      <c r="O689" s="192"/>
      <c r="P689" s="192"/>
      <c r="Q689" s="151">
        <f>SUM(G689:P689)</f>
        <v>0</v>
      </c>
      <c r="R689" s="706"/>
    </row>
    <row r="690" spans="1:18" ht="17.100000000000001" customHeight="1" x14ac:dyDescent="0.25">
      <c r="A690" s="251"/>
      <c r="B690" s="251"/>
      <c r="C690" s="252"/>
      <c r="D690" s="432" t="s">
        <v>239</v>
      </c>
      <c r="E690" s="192"/>
      <c r="F690" s="268"/>
      <c r="G690" s="255"/>
      <c r="H690" s="255"/>
      <c r="I690" s="255"/>
      <c r="J690" s="255"/>
      <c r="K690" s="255"/>
      <c r="L690" s="255"/>
      <c r="M690" s="255"/>
      <c r="N690" s="255"/>
      <c r="O690" s="255"/>
      <c r="P690" s="255"/>
      <c r="Q690" s="243"/>
      <c r="R690" s="706"/>
    </row>
    <row r="691" spans="1:18" ht="17.100000000000001" customHeight="1" x14ac:dyDescent="0.25">
      <c r="A691" s="251"/>
      <c r="B691" s="251"/>
      <c r="C691" s="252"/>
      <c r="D691" s="193" t="s">
        <v>826</v>
      </c>
      <c r="E691" s="214">
        <v>2</v>
      </c>
      <c r="F691" s="460">
        <v>221951</v>
      </c>
      <c r="G691" s="255"/>
      <c r="H691" s="255"/>
      <c r="I691" s="255"/>
      <c r="J691" s="255"/>
      <c r="K691" s="255">
        <v>-1100</v>
      </c>
      <c r="L691" s="255"/>
      <c r="M691" s="255"/>
      <c r="N691" s="255">
        <v>1100</v>
      </c>
      <c r="O691" s="255"/>
      <c r="P691" s="255"/>
      <c r="Q691" s="243">
        <f>SUM(G691:P691)</f>
        <v>0</v>
      </c>
      <c r="R691" s="706" t="s">
        <v>1295</v>
      </c>
    </row>
    <row r="692" spans="1:18" ht="17.100000000000001" hidden="1" customHeight="1" x14ac:dyDescent="0.25">
      <c r="A692" s="251"/>
      <c r="B692" s="251"/>
      <c r="C692" s="256"/>
      <c r="D692" s="433" t="s">
        <v>827</v>
      </c>
      <c r="E692" s="192">
        <v>2</v>
      </c>
      <c r="F692" s="268" t="s">
        <v>828</v>
      </c>
      <c r="G692" s="255"/>
      <c r="H692" s="255"/>
      <c r="I692" s="255"/>
      <c r="J692" s="255"/>
      <c r="K692" s="255"/>
      <c r="L692" s="255"/>
      <c r="M692" s="255"/>
      <c r="N692" s="255"/>
      <c r="O692" s="255"/>
      <c r="P692" s="255"/>
      <c r="Q692" s="243">
        <f>SUM(G692:P692)</f>
        <v>0</v>
      </c>
      <c r="R692" s="706"/>
    </row>
    <row r="693" spans="1:18" ht="17.100000000000001" hidden="1" customHeight="1" x14ac:dyDescent="0.25">
      <c r="A693" s="251"/>
      <c r="B693" s="251"/>
      <c r="C693" s="434"/>
      <c r="D693" s="433" t="s">
        <v>1091</v>
      </c>
      <c r="E693" s="192">
        <v>2</v>
      </c>
      <c r="F693" s="268">
        <v>221969</v>
      </c>
      <c r="G693" s="255"/>
      <c r="H693" s="255"/>
      <c r="I693" s="255"/>
      <c r="J693" s="255"/>
      <c r="K693" s="255"/>
      <c r="L693" s="255"/>
      <c r="M693" s="255"/>
      <c r="N693" s="255"/>
      <c r="O693" s="255"/>
      <c r="P693" s="255"/>
      <c r="Q693" s="243">
        <f t="shared" ref="Q693" si="57">SUM(G693:P693)</f>
        <v>0</v>
      </c>
      <c r="R693" s="706"/>
    </row>
    <row r="694" spans="1:18" ht="17.100000000000001" hidden="1" customHeight="1" x14ac:dyDescent="0.25">
      <c r="A694" s="251"/>
      <c r="B694" s="251"/>
      <c r="C694" s="252"/>
      <c r="D694" s="185" t="s">
        <v>829</v>
      </c>
      <c r="E694" s="192"/>
      <c r="F694" s="151"/>
      <c r="G694" s="255"/>
      <c r="H694" s="255"/>
      <c r="I694" s="255"/>
      <c r="J694" s="255"/>
      <c r="K694" s="255"/>
      <c r="L694" s="255"/>
      <c r="M694" s="255"/>
      <c r="N694" s="255"/>
      <c r="O694" s="255"/>
      <c r="P694" s="255"/>
      <c r="Q694" s="243"/>
      <c r="R694" s="706"/>
    </row>
    <row r="695" spans="1:18" ht="17.100000000000001" hidden="1" customHeight="1" x14ac:dyDescent="0.25">
      <c r="A695" s="251"/>
      <c r="B695" s="251"/>
      <c r="C695" s="252"/>
      <c r="D695" s="185" t="s">
        <v>830</v>
      </c>
      <c r="E695" s="192">
        <v>2</v>
      </c>
      <c r="F695" s="151">
        <v>221929</v>
      </c>
      <c r="G695" s="255"/>
      <c r="H695" s="255"/>
      <c r="I695" s="255"/>
      <c r="J695" s="255"/>
      <c r="K695" s="255"/>
      <c r="L695" s="255"/>
      <c r="M695" s="255"/>
      <c r="N695" s="255"/>
      <c r="O695" s="255"/>
      <c r="P695" s="255"/>
      <c r="Q695" s="243">
        <f>SUM(G695:P695)</f>
        <v>0</v>
      </c>
      <c r="R695" s="706"/>
    </row>
    <row r="696" spans="1:18" ht="17.100000000000001" hidden="1" customHeight="1" x14ac:dyDescent="0.25">
      <c r="A696" s="251"/>
      <c r="B696" s="251"/>
      <c r="C696" s="434"/>
      <c r="D696" s="185" t="s">
        <v>831</v>
      </c>
      <c r="E696" s="192">
        <v>2</v>
      </c>
      <c r="F696" s="151">
        <v>191402</v>
      </c>
      <c r="G696" s="255"/>
      <c r="H696" s="255"/>
      <c r="I696" s="255"/>
      <c r="J696" s="255"/>
      <c r="K696" s="255"/>
      <c r="L696" s="255"/>
      <c r="M696" s="255"/>
      <c r="N696" s="255"/>
      <c r="O696" s="255"/>
      <c r="P696" s="255"/>
      <c r="Q696" s="243">
        <f>SUM(G696:P696)</f>
        <v>0</v>
      </c>
      <c r="R696" s="706"/>
    </row>
    <row r="697" spans="1:18" ht="17.100000000000001" customHeight="1" x14ac:dyDescent="0.25">
      <c r="A697" s="251"/>
      <c r="B697" s="251"/>
      <c r="C697" s="434"/>
      <c r="D697" s="185" t="s">
        <v>832</v>
      </c>
      <c r="E697" s="192"/>
      <c r="F697" s="151"/>
      <c r="G697" s="255"/>
      <c r="H697" s="255"/>
      <c r="I697" s="255"/>
      <c r="J697" s="255"/>
      <c r="K697" s="255"/>
      <c r="L697" s="255"/>
      <c r="M697" s="255"/>
      <c r="N697" s="255"/>
      <c r="O697" s="255"/>
      <c r="P697" s="255"/>
      <c r="Q697" s="243"/>
      <c r="R697" s="706"/>
    </row>
    <row r="698" spans="1:18" ht="17.100000000000001" hidden="1" customHeight="1" x14ac:dyDescent="0.25">
      <c r="A698" s="251"/>
      <c r="B698" s="251"/>
      <c r="C698" s="434"/>
      <c r="D698" s="185" t="s">
        <v>833</v>
      </c>
      <c r="E698" s="192">
        <v>1</v>
      </c>
      <c r="F698" s="151">
        <v>221909</v>
      </c>
      <c r="G698" s="255"/>
      <c r="H698" s="255"/>
      <c r="I698" s="255"/>
      <c r="J698" s="255"/>
      <c r="K698" s="255"/>
      <c r="L698" s="255"/>
      <c r="M698" s="255"/>
      <c r="N698" s="255"/>
      <c r="O698" s="255"/>
      <c r="P698" s="255"/>
      <c r="Q698" s="243">
        <f>SUM(G698:P698)</f>
        <v>0</v>
      </c>
      <c r="R698" s="706"/>
    </row>
    <row r="699" spans="1:18" ht="17.100000000000001" hidden="1" customHeight="1" x14ac:dyDescent="0.25">
      <c r="A699" s="251"/>
      <c r="B699" s="251"/>
      <c r="C699" s="252"/>
      <c r="D699" s="185" t="s">
        <v>834</v>
      </c>
      <c r="E699" s="192">
        <v>1</v>
      </c>
      <c r="F699" s="151">
        <v>221913</v>
      </c>
      <c r="G699" s="255"/>
      <c r="H699" s="255"/>
      <c r="I699" s="255"/>
      <c r="J699" s="255"/>
      <c r="K699" s="255"/>
      <c r="L699" s="255"/>
      <c r="M699" s="255"/>
      <c r="N699" s="255"/>
      <c r="O699" s="255"/>
      <c r="P699" s="255"/>
      <c r="Q699" s="243">
        <f>SUM(G699:P699)</f>
        <v>0</v>
      </c>
      <c r="R699" s="706"/>
    </row>
    <row r="700" spans="1:18" ht="17.100000000000001" customHeight="1" x14ac:dyDescent="0.25">
      <c r="A700" s="251"/>
      <c r="B700" s="251"/>
      <c r="C700" s="252"/>
      <c r="D700" s="185" t="s">
        <v>944</v>
      </c>
      <c r="E700" s="192">
        <v>1</v>
      </c>
      <c r="F700" s="151">
        <v>221962</v>
      </c>
      <c r="G700" s="255"/>
      <c r="H700" s="255"/>
      <c r="I700" s="255"/>
      <c r="J700" s="255"/>
      <c r="K700" s="255">
        <v>6300</v>
      </c>
      <c r="L700" s="255"/>
      <c r="M700" s="255"/>
      <c r="N700" s="255"/>
      <c r="O700" s="255"/>
      <c r="P700" s="255"/>
      <c r="Q700" s="243">
        <f>SUM(G700:P700)</f>
        <v>6300</v>
      </c>
      <c r="R700" s="706" t="s">
        <v>1295</v>
      </c>
    </row>
    <row r="701" spans="1:18" ht="17.100000000000001" hidden="1" customHeight="1" x14ac:dyDescent="0.25">
      <c r="A701" s="251"/>
      <c r="B701" s="251"/>
      <c r="C701" s="252"/>
      <c r="D701" s="205" t="s">
        <v>835</v>
      </c>
      <c r="E701" s="192">
        <v>2</v>
      </c>
      <c r="F701" s="200">
        <v>221955</v>
      </c>
      <c r="G701" s="255"/>
      <c r="H701" s="255"/>
      <c r="I701" s="255"/>
      <c r="J701" s="255"/>
      <c r="K701" s="255"/>
      <c r="L701" s="255"/>
      <c r="M701" s="255"/>
      <c r="N701" s="255"/>
      <c r="O701" s="255"/>
      <c r="P701" s="255"/>
      <c r="Q701" s="243">
        <f>SUM(G701:P701)</f>
        <v>0</v>
      </c>
      <c r="R701" s="706"/>
    </row>
    <row r="702" spans="1:18" ht="17.100000000000001" hidden="1" customHeight="1" x14ac:dyDescent="0.25">
      <c r="A702" s="251"/>
      <c r="B702" s="251"/>
      <c r="C702" s="252"/>
      <c r="D702" s="186" t="s">
        <v>836</v>
      </c>
      <c r="E702" s="183"/>
      <c r="F702" s="183"/>
      <c r="G702" s="255"/>
      <c r="H702" s="255"/>
      <c r="I702" s="255"/>
      <c r="J702" s="255"/>
      <c r="K702" s="255"/>
      <c r="L702" s="255"/>
      <c r="M702" s="255"/>
      <c r="N702" s="255"/>
      <c r="O702" s="255"/>
      <c r="P702" s="255"/>
      <c r="Q702" s="151"/>
      <c r="R702" s="706"/>
    </row>
    <row r="703" spans="1:18" ht="14.25" hidden="1" customHeight="1" x14ac:dyDescent="0.25">
      <c r="A703" s="251"/>
      <c r="B703" s="251"/>
      <c r="C703" s="252"/>
      <c r="D703" s="186" t="s">
        <v>837</v>
      </c>
      <c r="E703" s="151">
        <v>2</v>
      </c>
      <c r="F703" s="151">
        <v>191151</v>
      </c>
      <c r="G703" s="255"/>
      <c r="H703" s="255"/>
      <c r="I703" s="255"/>
      <c r="J703" s="255"/>
      <c r="K703" s="255"/>
      <c r="L703" s="255"/>
      <c r="M703" s="255"/>
      <c r="N703" s="255"/>
      <c r="O703" s="255"/>
      <c r="P703" s="255"/>
      <c r="Q703" s="151">
        <f>SUM(G703:P703)</f>
        <v>0</v>
      </c>
      <c r="R703" s="706"/>
    </row>
    <row r="704" spans="1:18" ht="15.9" hidden="1" customHeight="1" x14ac:dyDescent="0.25">
      <c r="A704" s="251"/>
      <c r="B704" s="251"/>
      <c r="C704" s="252"/>
      <c r="D704" s="186" t="s">
        <v>379</v>
      </c>
      <c r="E704" s="192"/>
      <c r="F704" s="200"/>
      <c r="G704" s="255"/>
      <c r="H704" s="255"/>
      <c r="I704" s="255"/>
      <c r="J704" s="255"/>
      <c r="K704" s="255"/>
      <c r="L704" s="255"/>
      <c r="M704" s="255"/>
      <c r="N704" s="255"/>
      <c r="O704" s="255"/>
      <c r="P704" s="255"/>
      <c r="Q704" s="243"/>
      <c r="R704" s="706"/>
    </row>
    <row r="705" spans="1:18" ht="19.95" hidden="1" customHeight="1" x14ac:dyDescent="0.25">
      <c r="A705" s="251"/>
      <c r="B705" s="251"/>
      <c r="C705" s="252"/>
      <c r="D705" s="193" t="s">
        <v>861</v>
      </c>
      <c r="E705" s="192">
        <v>2</v>
      </c>
      <c r="F705" s="200">
        <v>221942</v>
      </c>
      <c r="G705" s="255"/>
      <c r="H705" s="255"/>
      <c r="I705" s="255"/>
      <c r="J705" s="255"/>
      <c r="K705" s="255"/>
      <c r="L705" s="255"/>
      <c r="M705" s="255"/>
      <c r="N705" s="255"/>
      <c r="O705" s="255"/>
      <c r="P705" s="255"/>
      <c r="Q705" s="243">
        <f t="shared" ref="Q705:Q714" si="58">SUM(G705:P705)</f>
        <v>0</v>
      </c>
      <c r="R705" s="706"/>
    </row>
    <row r="706" spans="1:18" ht="18.75" hidden="1" customHeight="1" x14ac:dyDescent="0.25">
      <c r="A706" s="251"/>
      <c r="B706" s="251"/>
      <c r="C706" s="252"/>
      <c r="D706" s="193" t="s">
        <v>864</v>
      </c>
      <c r="E706" s="192">
        <v>2</v>
      </c>
      <c r="F706" s="200">
        <v>221961</v>
      </c>
      <c r="G706" s="255"/>
      <c r="H706" s="255"/>
      <c r="I706" s="255"/>
      <c r="J706" s="255"/>
      <c r="K706" s="255"/>
      <c r="L706" s="255"/>
      <c r="M706" s="255"/>
      <c r="N706" s="255"/>
      <c r="O706" s="255"/>
      <c r="P706" s="255"/>
      <c r="Q706" s="243">
        <f t="shared" si="58"/>
        <v>0</v>
      </c>
      <c r="R706" s="706"/>
    </row>
    <row r="707" spans="1:18" ht="30" hidden="1" customHeight="1" x14ac:dyDescent="0.25">
      <c r="A707" s="251"/>
      <c r="B707" s="251"/>
      <c r="C707" s="252"/>
      <c r="D707" s="193" t="s">
        <v>838</v>
      </c>
      <c r="E707" s="192">
        <v>2</v>
      </c>
      <c r="F707" s="200">
        <v>221910</v>
      </c>
      <c r="G707" s="255"/>
      <c r="H707" s="255"/>
      <c r="I707" s="255"/>
      <c r="J707" s="255"/>
      <c r="K707" s="255"/>
      <c r="L707" s="255"/>
      <c r="M707" s="255"/>
      <c r="N707" s="255"/>
      <c r="O707" s="255"/>
      <c r="P707" s="255"/>
      <c r="Q707" s="243">
        <f t="shared" si="58"/>
        <v>0</v>
      </c>
      <c r="R707" s="706"/>
    </row>
    <row r="708" spans="1:18" ht="16.5" hidden="1" customHeight="1" x14ac:dyDescent="0.25">
      <c r="A708" s="251"/>
      <c r="B708" s="251"/>
      <c r="C708" s="252"/>
      <c r="D708" s="510" t="s">
        <v>945</v>
      </c>
      <c r="E708" s="183">
        <v>2</v>
      </c>
      <c r="F708" s="151">
        <v>121518</v>
      </c>
      <c r="G708" s="255"/>
      <c r="H708" s="255"/>
      <c r="I708" s="255"/>
      <c r="J708" s="255"/>
      <c r="K708" s="255"/>
      <c r="L708" s="255"/>
      <c r="M708" s="255"/>
      <c r="N708" s="255"/>
      <c r="O708" s="255"/>
      <c r="P708" s="255"/>
      <c r="Q708" s="243">
        <f t="shared" si="58"/>
        <v>0</v>
      </c>
      <c r="R708" s="706"/>
    </row>
    <row r="709" spans="1:18" ht="16.5" hidden="1" customHeight="1" x14ac:dyDescent="0.25">
      <c r="A709" s="517"/>
      <c r="B709" s="517"/>
      <c r="C709" s="598"/>
      <c r="D709" s="510" t="s">
        <v>1196</v>
      </c>
      <c r="E709" s="509">
        <v>2</v>
      </c>
      <c r="F709" s="585">
        <v>221970</v>
      </c>
      <c r="G709" s="519"/>
      <c r="H709" s="519"/>
      <c r="I709" s="519"/>
      <c r="J709" s="519"/>
      <c r="K709" s="519"/>
      <c r="L709" s="519"/>
      <c r="M709" s="519"/>
      <c r="N709" s="519"/>
      <c r="O709" s="519"/>
      <c r="P709" s="519"/>
      <c r="Q709" s="243">
        <f t="shared" si="58"/>
        <v>0</v>
      </c>
      <c r="R709" s="706"/>
    </row>
    <row r="710" spans="1:18" ht="16.5" hidden="1" customHeight="1" x14ac:dyDescent="0.25">
      <c r="A710" s="517"/>
      <c r="B710" s="517"/>
      <c r="C710" s="598"/>
      <c r="D710" s="510" t="s">
        <v>1199</v>
      </c>
      <c r="E710" s="509">
        <v>2</v>
      </c>
      <c r="F710" s="585">
        <v>221971</v>
      </c>
      <c r="G710" s="519"/>
      <c r="H710" s="519"/>
      <c r="I710" s="519"/>
      <c r="J710" s="519"/>
      <c r="K710" s="519"/>
      <c r="L710" s="519"/>
      <c r="M710" s="519"/>
      <c r="N710" s="519"/>
      <c r="O710" s="519"/>
      <c r="P710" s="519"/>
      <c r="Q710" s="599">
        <f t="shared" si="58"/>
        <v>0</v>
      </c>
      <c r="R710" s="706"/>
    </row>
    <row r="711" spans="1:18" ht="16.5" hidden="1" customHeight="1" x14ac:dyDescent="0.25">
      <c r="A711" s="594"/>
      <c r="B711" s="594"/>
      <c r="C711" s="595"/>
      <c r="D711" s="510" t="s">
        <v>1195</v>
      </c>
      <c r="E711" s="596">
        <v>2</v>
      </c>
      <c r="F711" s="562">
        <v>221931</v>
      </c>
      <c r="G711" s="597"/>
      <c r="H711" s="597"/>
      <c r="I711" s="597"/>
      <c r="J711" s="597"/>
      <c r="K711" s="597"/>
      <c r="L711" s="597"/>
      <c r="M711" s="597"/>
      <c r="N711" s="597"/>
      <c r="O711" s="597"/>
      <c r="P711" s="597"/>
      <c r="Q711" s="243">
        <f t="shared" si="58"/>
        <v>0</v>
      </c>
      <c r="R711" s="706"/>
    </row>
    <row r="712" spans="1:18" ht="16.5" hidden="1" customHeight="1" x14ac:dyDescent="0.25">
      <c r="A712" s="517"/>
      <c r="B712" s="517"/>
      <c r="C712" s="595"/>
      <c r="D712" s="510" t="s">
        <v>1105</v>
      </c>
      <c r="E712" s="509">
        <v>2</v>
      </c>
      <c r="F712" s="518">
        <v>221965</v>
      </c>
      <c r="G712" s="519"/>
      <c r="H712" s="519"/>
      <c r="I712" s="572"/>
      <c r="J712" s="519"/>
      <c r="K712" s="519"/>
      <c r="L712" s="519"/>
      <c r="M712" s="519"/>
      <c r="N712" s="519"/>
      <c r="O712" s="519"/>
      <c r="P712" s="519"/>
      <c r="Q712" s="243">
        <f t="shared" si="58"/>
        <v>0</v>
      </c>
      <c r="R712" s="706"/>
    </row>
    <row r="713" spans="1:18" ht="16.5" customHeight="1" x14ac:dyDescent="0.25">
      <c r="A713" s="769"/>
      <c r="B713" s="769"/>
      <c r="C713" s="770"/>
      <c r="D713" s="681" t="s">
        <v>1307</v>
      </c>
      <c r="E713" s="771"/>
      <c r="F713" s="640"/>
      <c r="G713" s="772"/>
      <c r="H713" s="772"/>
      <c r="I713" s="773"/>
      <c r="J713" s="772"/>
      <c r="K713" s="772"/>
      <c r="L713" s="772"/>
      <c r="M713" s="772"/>
      <c r="N713" s="772"/>
      <c r="O713" s="772"/>
      <c r="P713" s="772"/>
      <c r="Q713" s="243"/>
      <c r="R713" s="762"/>
    </row>
    <row r="714" spans="1:18" ht="16.5" customHeight="1" x14ac:dyDescent="0.25">
      <c r="A714" s="769"/>
      <c r="B714" s="769"/>
      <c r="C714" s="770"/>
      <c r="D714" s="681" t="s">
        <v>1308</v>
      </c>
      <c r="E714" s="771">
        <v>2</v>
      </c>
      <c r="F714" s="640">
        <v>221972</v>
      </c>
      <c r="G714" s="772"/>
      <c r="H714" s="772"/>
      <c r="I714" s="773">
        <v>10000</v>
      </c>
      <c r="J714" s="772"/>
      <c r="K714" s="772"/>
      <c r="L714" s="772"/>
      <c r="M714" s="772"/>
      <c r="N714" s="772"/>
      <c r="O714" s="772"/>
      <c r="P714" s="772"/>
      <c r="Q714" s="243">
        <f t="shared" si="58"/>
        <v>10000</v>
      </c>
      <c r="R714" s="762" t="s">
        <v>1294</v>
      </c>
    </row>
    <row r="715" spans="1:18" ht="14.1" customHeight="1" x14ac:dyDescent="0.25">
      <c r="A715" s="194"/>
      <c r="B715" s="194"/>
      <c r="C715" s="483"/>
      <c r="D715" s="484" t="s">
        <v>839</v>
      </c>
      <c r="E715" s="485"/>
      <c r="F715" s="486"/>
      <c r="G715" s="257">
        <f>SUM(G674:G714)</f>
        <v>0</v>
      </c>
      <c r="H715" s="257">
        <f t="shared" ref="H715:Q715" si="59">SUM(H674:H714)</f>
        <v>0</v>
      </c>
      <c r="I715" s="257">
        <f t="shared" si="59"/>
        <v>6672</v>
      </c>
      <c r="J715" s="257">
        <f t="shared" si="59"/>
        <v>0</v>
      </c>
      <c r="K715" s="257">
        <f t="shared" si="59"/>
        <v>8390</v>
      </c>
      <c r="L715" s="257">
        <f t="shared" si="59"/>
        <v>0</v>
      </c>
      <c r="M715" s="257">
        <f t="shared" si="59"/>
        <v>0</v>
      </c>
      <c r="N715" s="257">
        <f t="shared" si="59"/>
        <v>1100</v>
      </c>
      <c r="O715" s="257">
        <f t="shared" si="59"/>
        <v>0</v>
      </c>
      <c r="P715" s="257">
        <f t="shared" si="59"/>
        <v>0</v>
      </c>
      <c r="Q715" s="257">
        <f t="shared" si="59"/>
        <v>16162</v>
      </c>
      <c r="R715" s="707"/>
    </row>
    <row r="716" spans="1:18" ht="14.1" customHeight="1" x14ac:dyDescent="0.25">
      <c r="A716" s="199"/>
      <c r="B716" s="199"/>
      <c r="C716" s="199"/>
      <c r="D716" s="487" t="s">
        <v>840</v>
      </c>
      <c r="E716" s="488"/>
      <c r="F716" s="489"/>
      <c r="G716" s="220"/>
      <c r="H716" s="220"/>
      <c r="I716" s="220"/>
      <c r="J716" s="220"/>
      <c r="K716" s="220"/>
      <c r="L716" s="220"/>
      <c r="M716" s="220"/>
      <c r="N716" s="220"/>
      <c r="O716" s="220"/>
      <c r="P716" s="220"/>
      <c r="Q716" s="220"/>
      <c r="R716" s="706"/>
    </row>
    <row r="717" spans="1:18" ht="18" hidden="1" customHeight="1" x14ac:dyDescent="0.25">
      <c r="A717" s="199"/>
      <c r="B717" s="199"/>
      <c r="C717" s="490" t="s">
        <v>92</v>
      </c>
      <c r="D717" s="625" t="s">
        <v>1121</v>
      </c>
      <c r="E717" s="192"/>
      <c r="F717" s="624">
        <v>222928</v>
      </c>
      <c r="G717" s="255"/>
      <c r="H717" s="255"/>
      <c r="I717" s="570"/>
      <c r="J717" s="255"/>
      <c r="K717" s="255"/>
      <c r="L717" s="570"/>
      <c r="M717" s="255"/>
      <c r="N717" s="255"/>
      <c r="O717" s="255"/>
      <c r="P717" s="255"/>
      <c r="Q717" s="243">
        <f t="shared" ref="Q717:Q718" si="60">SUM(G717:P717)</f>
        <v>0</v>
      </c>
      <c r="R717" s="706"/>
    </row>
    <row r="718" spans="1:18" ht="22.95" customHeight="1" x14ac:dyDescent="0.25">
      <c r="A718" s="757"/>
      <c r="B718" s="757"/>
      <c r="C718" s="758" t="s">
        <v>91</v>
      </c>
      <c r="D718" s="774" t="s">
        <v>1309</v>
      </c>
      <c r="E718" s="775"/>
      <c r="F718" s="653">
        <v>222930</v>
      </c>
      <c r="G718" s="772"/>
      <c r="H718" s="772"/>
      <c r="I718" s="773"/>
      <c r="J718" s="772"/>
      <c r="K718" s="772"/>
      <c r="L718" s="773"/>
      <c r="M718" s="772"/>
      <c r="N718" s="772">
        <v>10000</v>
      </c>
      <c r="O718" s="772"/>
      <c r="P718" s="772"/>
      <c r="Q718" s="243">
        <f t="shared" si="60"/>
        <v>10000</v>
      </c>
      <c r="R718" s="762" t="s">
        <v>1294</v>
      </c>
    </row>
    <row r="719" spans="1:18" ht="18" customHeight="1" x14ac:dyDescent="0.25">
      <c r="A719" s="199"/>
      <c r="B719" s="199"/>
      <c r="C719" s="199"/>
      <c r="D719" s="492" t="s">
        <v>1026</v>
      </c>
      <c r="E719" s="488"/>
      <c r="F719" s="489"/>
      <c r="G719" s="192"/>
      <c r="H719" s="192"/>
      <c r="I719" s="192"/>
      <c r="J719" s="192"/>
      <c r="K719" s="192"/>
      <c r="L719" s="192"/>
      <c r="M719" s="192"/>
      <c r="N719" s="192"/>
      <c r="O719" s="192"/>
      <c r="P719" s="192"/>
      <c r="Q719" s="192"/>
      <c r="R719" s="706"/>
    </row>
    <row r="720" spans="1:18" ht="17.399999999999999" customHeight="1" x14ac:dyDescent="0.25">
      <c r="A720" s="199"/>
      <c r="B720" s="199"/>
      <c r="C720" s="233" t="s">
        <v>841</v>
      </c>
      <c r="D720" s="493" t="s">
        <v>842</v>
      </c>
      <c r="E720" s="488"/>
      <c r="F720" s="492">
        <v>222902</v>
      </c>
      <c r="G720" s="192"/>
      <c r="H720" s="192"/>
      <c r="I720" s="192">
        <v>900</v>
      </c>
      <c r="J720" s="192"/>
      <c r="K720" s="192"/>
      <c r="L720" s="192">
        <v>-762</v>
      </c>
      <c r="M720" s="192"/>
      <c r="N720" s="192"/>
      <c r="O720" s="192"/>
      <c r="P720" s="192"/>
      <c r="Q720" s="192">
        <f t="shared" ref="Q720" si="61">SUM(I720:P720)</f>
        <v>138</v>
      </c>
      <c r="R720" s="706" t="s">
        <v>1295</v>
      </c>
    </row>
    <row r="721" spans="1:18" ht="18" customHeight="1" x14ac:dyDescent="0.25">
      <c r="A721" s="194"/>
      <c r="B721" s="194"/>
      <c r="C721" s="483"/>
      <c r="D721" s="494" t="s">
        <v>843</v>
      </c>
      <c r="E721" s="485"/>
      <c r="F721" s="486"/>
      <c r="G721" s="257">
        <f t="shared" ref="G721:Q721" si="62">SUM(G715:G720)</f>
        <v>0</v>
      </c>
      <c r="H721" s="257">
        <f t="shared" si="62"/>
        <v>0</v>
      </c>
      <c r="I721" s="257">
        <f t="shared" si="62"/>
        <v>7572</v>
      </c>
      <c r="J721" s="257">
        <f t="shared" si="62"/>
        <v>0</v>
      </c>
      <c r="K721" s="257">
        <f t="shared" si="62"/>
        <v>8390</v>
      </c>
      <c r="L721" s="257">
        <f t="shared" si="62"/>
        <v>-762</v>
      </c>
      <c r="M721" s="257">
        <f t="shared" si="62"/>
        <v>0</v>
      </c>
      <c r="N721" s="257">
        <f t="shared" si="62"/>
        <v>11100</v>
      </c>
      <c r="O721" s="257">
        <f t="shared" si="62"/>
        <v>0</v>
      </c>
      <c r="P721" s="257">
        <f t="shared" si="62"/>
        <v>0</v>
      </c>
      <c r="Q721" s="257">
        <f t="shared" si="62"/>
        <v>26300</v>
      </c>
      <c r="R721" s="707"/>
    </row>
    <row r="722" spans="1:18" ht="18" customHeight="1" x14ac:dyDescent="0.25">
      <c r="A722" s="199">
        <v>1</v>
      </c>
      <c r="B722" s="199">
        <v>30</v>
      </c>
      <c r="C722" s="495"/>
      <c r="D722" s="496" t="s">
        <v>844</v>
      </c>
      <c r="E722" s="491"/>
      <c r="F722" s="491"/>
      <c r="G722" s="151"/>
      <c r="H722" s="177"/>
      <c r="I722" s="177"/>
      <c r="J722" s="177"/>
      <c r="K722" s="177"/>
      <c r="L722" s="177"/>
      <c r="M722" s="151"/>
      <c r="N722" s="151"/>
      <c r="O722" s="151"/>
      <c r="P722" s="151"/>
      <c r="Q722" s="151"/>
      <c r="R722" s="706"/>
    </row>
    <row r="723" spans="1:18" ht="15.6" customHeight="1" x14ac:dyDescent="0.25">
      <c r="A723" s="199"/>
      <c r="B723" s="199">
        <v>31</v>
      </c>
      <c r="C723" s="495"/>
      <c r="D723" s="496" t="s">
        <v>845</v>
      </c>
      <c r="E723" s="151">
        <v>1</v>
      </c>
      <c r="F723" s="491">
        <v>311901</v>
      </c>
      <c r="G723" s="192"/>
      <c r="H723" s="192"/>
      <c r="I723" s="192"/>
      <c r="J723" s="192"/>
      <c r="K723" s="192">
        <v>-3000</v>
      </c>
      <c r="L723" s="192"/>
      <c r="M723" s="192"/>
      <c r="N723" s="192"/>
      <c r="O723" s="192"/>
      <c r="P723" s="192"/>
      <c r="Q723" s="151">
        <f>SUM(K723:P723)</f>
        <v>-3000</v>
      </c>
      <c r="R723" s="706" t="s">
        <v>1317</v>
      </c>
    </row>
    <row r="724" spans="1:18" ht="15" customHeight="1" x14ac:dyDescent="0.25">
      <c r="A724" s="172"/>
      <c r="B724" s="172">
        <v>32</v>
      </c>
      <c r="C724" s="490"/>
      <c r="D724" s="902" t="s">
        <v>846</v>
      </c>
      <c r="E724" s="903"/>
      <c r="F724" s="491"/>
      <c r="G724" s="192"/>
      <c r="H724" s="177"/>
      <c r="I724" s="177"/>
      <c r="J724" s="177"/>
      <c r="K724" s="177"/>
      <c r="L724" s="177"/>
      <c r="M724" s="192"/>
      <c r="N724" s="192"/>
      <c r="O724" s="151"/>
      <c r="P724" s="151"/>
      <c r="Q724" s="151"/>
      <c r="R724" s="706"/>
    </row>
    <row r="725" spans="1:18" ht="18" hidden="1" customHeight="1" x14ac:dyDescent="0.25">
      <c r="A725" s="172"/>
      <c r="B725" s="172"/>
      <c r="C725" s="490"/>
      <c r="D725" s="492" t="s">
        <v>946</v>
      </c>
      <c r="E725" s="151">
        <v>1</v>
      </c>
      <c r="F725" s="151">
        <v>321907</v>
      </c>
      <c r="G725" s="192"/>
      <c r="H725" s="192"/>
      <c r="I725" s="192"/>
      <c r="J725" s="192"/>
      <c r="K725" s="192"/>
      <c r="L725" s="192"/>
      <c r="M725" s="192"/>
      <c r="N725" s="192"/>
      <c r="O725" s="192"/>
      <c r="P725" s="192"/>
      <c r="Q725" s="151">
        <f t="shared" ref="Q725:Q731" si="63">SUM(K725:P725)</f>
        <v>0</v>
      </c>
      <c r="R725" s="706"/>
    </row>
    <row r="726" spans="1:18" ht="17.25" hidden="1" customHeight="1" x14ac:dyDescent="0.25">
      <c r="A726" s="435"/>
      <c r="B726" s="435"/>
      <c r="C726" s="435"/>
      <c r="D726" s="685" t="s">
        <v>847</v>
      </c>
      <c r="E726" s="258">
        <v>1</v>
      </c>
      <c r="F726" s="259">
        <v>321903</v>
      </c>
      <c r="G726" s="192"/>
      <c r="H726" s="192"/>
      <c r="I726" s="192"/>
      <c r="J726" s="192"/>
      <c r="K726" s="192"/>
      <c r="L726" s="192"/>
      <c r="M726" s="192"/>
      <c r="N726" s="192"/>
      <c r="O726" s="192"/>
      <c r="P726" s="192"/>
      <c r="Q726" s="151">
        <f t="shared" si="63"/>
        <v>0</v>
      </c>
      <c r="R726" s="706"/>
    </row>
    <row r="727" spans="1:18" ht="18" customHeight="1" x14ac:dyDescent="0.25">
      <c r="A727" s="172"/>
      <c r="B727" s="172"/>
      <c r="C727" s="490"/>
      <c r="D727" s="492" t="s">
        <v>848</v>
      </c>
      <c r="E727" s="183">
        <v>1</v>
      </c>
      <c r="F727" s="151">
        <v>321908</v>
      </c>
      <c r="G727" s="192"/>
      <c r="H727" s="192"/>
      <c r="I727" s="192"/>
      <c r="J727" s="192"/>
      <c r="K727" s="570">
        <v>-25933</v>
      </c>
      <c r="L727" s="192"/>
      <c r="M727" s="192"/>
      <c r="N727" s="192"/>
      <c r="O727" s="192"/>
      <c r="P727" s="192"/>
      <c r="Q727" s="151">
        <f t="shared" si="63"/>
        <v>-25933</v>
      </c>
      <c r="R727" s="706" t="s">
        <v>1294</v>
      </c>
    </row>
    <row r="728" spans="1:18" ht="16.95" customHeight="1" x14ac:dyDescent="0.25">
      <c r="A728" s="172"/>
      <c r="B728" s="172"/>
      <c r="C728" s="490"/>
      <c r="D728" s="431" t="s">
        <v>849</v>
      </c>
      <c r="E728" s="208">
        <v>1</v>
      </c>
      <c r="F728" s="210">
        <v>321933</v>
      </c>
      <c r="G728" s="192"/>
      <c r="H728" s="192"/>
      <c r="I728" s="192"/>
      <c r="J728" s="192"/>
      <c r="K728" s="570">
        <v>176300</v>
      </c>
      <c r="L728" s="192"/>
      <c r="M728" s="192"/>
      <c r="N728" s="192"/>
      <c r="O728" s="192"/>
      <c r="P728" s="192"/>
      <c r="Q728" s="151">
        <f t="shared" si="63"/>
        <v>176300</v>
      </c>
      <c r="R728" s="706" t="s">
        <v>1294</v>
      </c>
    </row>
    <row r="729" spans="1:18" ht="15.6" customHeight="1" x14ac:dyDescent="0.25">
      <c r="A729" s="172"/>
      <c r="B729" s="172"/>
      <c r="C729" s="188"/>
      <c r="D729" s="436" t="s">
        <v>850</v>
      </c>
      <c r="E729" s="208">
        <v>1</v>
      </c>
      <c r="F729" s="210">
        <v>321934</v>
      </c>
      <c r="G729" s="192"/>
      <c r="H729" s="192"/>
      <c r="I729" s="192"/>
      <c r="J729" s="192"/>
      <c r="K729" s="570">
        <v>-47</v>
      </c>
      <c r="L729" s="192"/>
      <c r="M729" s="192"/>
      <c r="N729" s="192"/>
      <c r="O729" s="192"/>
      <c r="P729" s="192"/>
      <c r="Q729" s="151">
        <f t="shared" si="63"/>
        <v>-47</v>
      </c>
      <c r="R729" s="706" t="s">
        <v>1294</v>
      </c>
    </row>
    <row r="730" spans="1:18" ht="18" hidden="1" customHeight="1" x14ac:dyDescent="0.25">
      <c r="A730" s="172"/>
      <c r="B730" s="172"/>
      <c r="C730" s="188"/>
      <c r="D730" s="205" t="s">
        <v>851</v>
      </c>
      <c r="E730" s="208">
        <v>1</v>
      </c>
      <c r="F730" s="210">
        <v>321911</v>
      </c>
      <c r="G730" s="192"/>
      <c r="H730" s="192"/>
      <c r="I730" s="192"/>
      <c r="J730" s="192"/>
      <c r="K730" s="570"/>
      <c r="L730" s="192"/>
      <c r="M730" s="192"/>
      <c r="N730" s="192"/>
      <c r="O730" s="192"/>
      <c r="P730" s="192"/>
      <c r="Q730" s="151">
        <f t="shared" si="63"/>
        <v>0</v>
      </c>
      <c r="R730" s="706"/>
    </row>
    <row r="731" spans="1:18" ht="18" hidden="1" customHeight="1" x14ac:dyDescent="0.25">
      <c r="A731" s="172"/>
      <c r="B731" s="172"/>
      <c r="C731" s="188"/>
      <c r="D731" s="193" t="s">
        <v>852</v>
      </c>
      <c r="E731" s="208">
        <v>1</v>
      </c>
      <c r="F731" s="210">
        <v>321909</v>
      </c>
      <c r="G731" s="192"/>
      <c r="H731" s="192"/>
      <c r="I731" s="192"/>
      <c r="J731" s="192"/>
      <c r="K731" s="192"/>
      <c r="L731" s="192"/>
      <c r="M731" s="192"/>
      <c r="N731" s="192"/>
      <c r="O731" s="192"/>
      <c r="P731" s="192"/>
      <c r="Q731" s="151">
        <f t="shared" si="63"/>
        <v>0</v>
      </c>
      <c r="R731" s="706"/>
    </row>
    <row r="732" spans="1:18" ht="16.95" customHeight="1" x14ac:dyDescent="0.25">
      <c r="A732" s="172"/>
      <c r="B732" s="172"/>
      <c r="C732" s="188"/>
      <c r="D732" s="218" t="s">
        <v>853</v>
      </c>
      <c r="E732" s="151"/>
      <c r="F732" s="151"/>
      <c r="G732" s="192"/>
      <c r="H732" s="177"/>
      <c r="I732" s="177"/>
      <c r="J732" s="177"/>
      <c r="K732" s="177"/>
      <c r="L732" s="177"/>
      <c r="M732" s="151"/>
      <c r="N732" s="151"/>
      <c r="O732" s="151"/>
      <c r="P732" s="151"/>
      <c r="Q732" s="151"/>
      <c r="R732" s="706"/>
    </row>
    <row r="733" spans="1:18" ht="18" customHeight="1" x14ac:dyDescent="0.25">
      <c r="A733" s="172"/>
      <c r="B733" s="172"/>
      <c r="C733" s="188" t="s">
        <v>92</v>
      </c>
      <c r="D733" s="437" t="s">
        <v>854</v>
      </c>
      <c r="E733" s="151">
        <v>1</v>
      </c>
      <c r="F733" s="151">
        <v>324902</v>
      </c>
      <c r="G733" s="192"/>
      <c r="H733" s="192"/>
      <c r="I733" s="192"/>
      <c r="J733" s="192"/>
      <c r="K733" s="192"/>
      <c r="L733" s="192"/>
      <c r="M733" s="192">
        <v>-320</v>
      </c>
      <c r="N733" s="192"/>
      <c r="O733" s="192"/>
      <c r="P733" s="192"/>
      <c r="Q733" s="151">
        <f>SUM(K733:P733)</f>
        <v>-320</v>
      </c>
      <c r="R733" s="706" t="s">
        <v>1295</v>
      </c>
    </row>
    <row r="734" spans="1:18" ht="18" customHeight="1" x14ac:dyDescent="0.25">
      <c r="A734" s="507"/>
      <c r="B734" s="507"/>
      <c r="C734" s="508" t="s">
        <v>91</v>
      </c>
      <c r="D734" s="438" t="s">
        <v>947</v>
      </c>
      <c r="E734" s="200">
        <v>1</v>
      </c>
      <c r="F734" s="200">
        <v>322906</v>
      </c>
      <c r="G734" s="511"/>
      <c r="H734" s="511"/>
      <c r="I734" s="511"/>
      <c r="J734" s="511"/>
      <c r="K734" s="511"/>
      <c r="L734" s="511">
        <v>-3968</v>
      </c>
      <c r="M734" s="511"/>
      <c r="N734" s="511"/>
      <c r="O734" s="511"/>
      <c r="P734" s="511"/>
      <c r="Q734" s="151">
        <f t="shared" ref="Q734" si="64">SUM(K734:P734)</f>
        <v>-3968</v>
      </c>
      <c r="R734" s="706" t="s">
        <v>1294</v>
      </c>
    </row>
    <row r="735" spans="1:18" ht="15.9" customHeight="1" x14ac:dyDescent="0.25">
      <c r="A735" s="194"/>
      <c r="B735" s="194"/>
      <c r="C735" s="195"/>
      <c r="D735" s="196" t="s">
        <v>855</v>
      </c>
      <c r="E735" s="197"/>
      <c r="F735" s="260"/>
      <c r="G735" s="261">
        <f t="shared" ref="G735:Q735" si="65">SUM(G723:G734)</f>
        <v>0</v>
      </c>
      <c r="H735" s="261">
        <f t="shared" si="65"/>
        <v>0</v>
      </c>
      <c r="I735" s="261">
        <f t="shared" si="65"/>
        <v>0</v>
      </c>
      <c r="J735" s="261">
        <f t="shared" si="65"/>
        <v>0</v>
      </c>
      <c r="K735" s="261">
        <f t="shared" si="65"/>
        <v>147320</v>
      </c>
      <c r="L735" s="261">
        <f t="shared" si="65"/>
        <v>-3968</v>
      </c>
      <c r="M735" s="261">
        <f t="shared" si="65"/>
        <v>-320</v>
      </c>
      <c r="N735" s="261">
        <f t="shared" si="65"/>
        <v>0</v>
      </c>
      <c r="O735" s="261">
        <f t="shared" si="65"/>
        <v>0</v>
      </c>
      <c r="P735" s="261">
        <f t="shared" si="65"/>
        <v>0</v>
      </c>
      <c r="Q735" s="261">
        <f t="shared" si="65"/>
        <v>143032</v>
      </c>
      <c r="R735" s="707"/>
    </row>
    <row r="736" spans="1:18" ht="21.75" customHeight="1" x14ac:dyDescent="0.25">
      <c r="A736" s="194"/>
      <c r="B736" s="194"/>
      <c r="C736" s="195"/>
      <c r="D736" s="439" t="s">
        <v>856</v>
      </c>
      <c r="E736" s="440"/>
      <c r="F736" s="441"/>
      <c r="G736" s="262">
        <f t="shared" ref="G736:Q736" si="66">SUM(G46+G219+G231+G459+G594+G616+G641+G668+G721+G735+G671)</f>
        <v>-11519</v>
      </c>
      <c r="H736" s="262">
        <f t="shared" si="66"/>
        <v>-1923</v>
      </c>
      <c r="I736" s="262">
        <f t="shared" si="66"/>
        <v>276180</v>
      </c>
      <c r="J736" s="262">
        <f t="shared" si="66"/>
        <v>-7484</v>
      </c>
      <c r="K736" s="262">
        <f t="shared" si="66"/>
        <v>238087</v>
      </c>
      <c r="L736" s="262">
        <f t="shared" si="66"/>
        <v>-535313</v>
      </c>
      <c r="M736" s="262">
        <f t="shared" si="66"/>
        <v>260764</v>
      </c>
      <c r="N736" s="262">
        <f t="shared" si="66"/>
        <v>-490</v>
      </c>
      <c r="O736" s="262">
        <f t="shared" si="66"/>
        <v>0</v>
      </c>
      <c r="P736" s="262">
        <f t="shared" si="66"/>
        <v>0</v>
      </c>
      <c r="Q736" s="262">
        <f t="shared" si="66"/>
        <v>218302</v>
      </c>
      <c r="R736" s="707"/>
    </row>
    <row r="737" spans="1:18" ht="15.9" customHeight="1" x14ac:dyDescent="0.25">
      <c r="A737" s="172">
        <v>2</v>
      </c>
      <c r="B737" s="172"/>
      <c r="C737" s="172"/>
      <c r="D737" s="174" t="s">
        <v>183</v>
      </c>
      <c r="E737" s="200"/>
      <c r="F737" s="263"/>
      <c r="G737" s="264">
        <f>táj4!D22</f>
        <v>13455</v>
      </c>
      <c r="H737" s="264">
        <f>táj4!E22</f>
        <v>1870</v>
      </c>
      <c r="I737" s="264">
        <f>táj4!F22</f>
        <v>-11322</v>
      </c>
      <c r="J737" s="264">
        <f>táj4!G22</f>
        <v>2500</v>
      </c>
      <c r="K737" s="264">
        <f>táj4!H22</f>
        <v>1914</v>
      </c>
      <c r="L737" s="264">
        <f>táj4!I22</f>
        <v>24040</v>
      </c>
      <c r="M737" s="264">
        <f>táj4!J22</f>
        <v>195</v>
      </c>
      <c r="N737" s="264">
        <f>táj4!K22</f>
        <v>0</v>
      </c>
      <c r="O737" s="264"/>
      <c r="P737" s="626"/>
      <c r="Q737" s="264">
        <f>SUM(G737:P737)</f>
        <v>32652</v>
      </c>
      <c r="R737" s="706"/>
    </row>
    <row r="738" spans="1:18" ht="15.9" customHeight="1" x14ac:dyDescent="0.25">
      <c r="A738" s="194"/>
      <c r="B738" s="194"/>
      <c r="C738" s="195"/>
      <c r="D738" s="196" t="s">
        <v>173</v>
      </c>
      <c r="E738" s="235"/>
      <c r="F738" s="265"/>
      <c r="G738" s="47">
        <f>SUM(G736:G737)</f>
        <v>1936</v>
      </c>
      <c r="H738" s="47">
        <f t="shared" ref="H738:P738" si="67">SUM(H736:H737)</f>
        <v>-53</v>
      </c>
      <c r="I738" s="47">
        <f t="shared" si="67"/>
        <v>264858</v>
      </c>
      <c r="J738" s="47">
        <f t="shared" si="67"/>
        <v>-4984</v>
      </c>
      <c r="K738" s="47">
        <f t="shared" si="67"/>
        <v>240001</v>
      </c>
      <c r="L738" s="47">
        <f t="shared" si="67"/>
        <v>-511273</v>
      </c>
      <c r="M738" s="47">
        <f t="shared" si="67"/>
        <v>260959</v>
      </c>
      <c r="N738" s="47">
        <f t="shared" si="67"/>
        <v>-490</v>
      </c>
      <c r="O738" s="47">
        <f t="shared" si="67"/>
        <v>0</v>
      </c>
      <c r="P738" s="47">
        <f t="shared" si="67"/>
        <v>0</v>
      </c>
      <c r="Q738" s="47">
        <f>SUM(Q736:Q737)</f>
        <v>250954</v>
      </c>
      <c r="R738" s="707"/>
    </row>
    <row r="739" spans="1:18" ht="12" x14ac:dyDescent="0.25">
      <c r="A739" s="286"/>
      <c r="B739" s="286"/>
      <c r="C739" s="286"/>
      <c r="D739" s="286"/>
      <c r="E739" s="286"/>
      <c r="F739" s="286"/>
      <c r="G739" s="286"/>
      <c r="H739" s="286"/>
      <c r="I739" s="286"/>
      <c r="J739" s="286"/>
      <c r="K739" s="286"/>
      <c r="L739" s="286"/>
      <c r="M739" s="442"/>
      <c r="N739" s="442"/>
      <c r="O739" s="286"/>
      <c r="P739" s="286"/>
      <c r="Q739" s="286"/>
    </row>
    <row r="740" spans="1:18" ht="12.75" customHeight="1" x14ac:dyDescent="0.25">
      <c r="N740" s="864"/>
      <c r="O740" s="864"/>
      <c r="P740" s="864"/>
      <c r="Q740" s="267"/>
    </row>
  </sheetData>
  <sheetProtection selectLockedCells="1" selectUnlockedCells="1"/>
  <mergeCells count="24">
    <mergeCell ref="R1:R2"/>
    <mergeCell ref="A1:A2"/>
    <mergeCell ref="B1:B2"/>
    <mergeCell ref="C1:C2"/>
    <mergeCell ref="D1:D2"/>
    <mergeCell ref="E1:E2"/>
    <mergeCell ref="F1:F2"/>
    <mergeCell ref="G1:N1"/>
    <mergeCell ref="O1:P1"/>
    <mergeCell ref="Q1:Q2"/>
    <mergeCell ref="D192:E192"/>
    <mergeCell ref="D422:E422"/>
    <mergeCell ref="D459:E459"/>
    <mergeCell ref="D521:E521"/>
    <mergeCell ref="N740:P740"/>
    <mergeCell ref="D258:E258"/>
    <mergeCell ref="D367:E367"/>
    <mergeCell ref="D368:E368"/>
    <mergeCell ref="D382:E382"/>
    <mergeCell ref="D487:E487"/>
    <mergeCell ref="D497:E497"/>
    <mergeCell ref="D724:E724"/>
    <mergeCell ref="D383:E383"/>
    <mergeCell ref="D217:E217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2022.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0"/>
  <sheetViews>
    <sheetView workbookViewId="0">
      <pane ySplit="2" topLeftCell="A12" activePane="bottomLeft" state="frozen"/>
      <selection activeCell="I15" sqref="I15"/>
      <selection pane="bottomLeft" activeCell="L18" sqref="L18"/>
    </sheetView>
  </sheetViews>
  <sheetFormatPr defaultColWidth="9.33203125" defaultRowHeight="12.6" x14ac:dyDescent="0.25"/>
  <cols>
    <col min="1" max="1" width="3.109375" style="112" customWidth="1"/>
    <col min="2" max="2" width="3.33203125" style="112" customWidth="1"/>
    <col min="3" max="3" width="39.6640625" style="112" customWidth="1"/>
    <col min="4" max="5" width="12.33203125" style="112" customWidth="1"/>
    <col min="6" max="6" width="7.6640625" style="112" customWidth="1"/>
    <col min="7" max="7" width="10.33203125" style="112" customWidth="1"/>
    <col min="8" max="8" width="12" style="112" customWidth="1"/>
    <col min="9" max="10" width="12.33203125" style="112" customWidth="1"/>
    <col min="11" max="11" width="12.77734375" style="112" customWidth="1"/>
    <col min="12" max="12" width="14.77734375" style="112" customWidth="1"/>
    <col min="13" max="13" width="12" style="112" customWidth="1"/>
    <col min="14" max="14" width="13.33203125" style="112" customWidth="1"/>
    <col min="15" max="16384" width="9.33203125" style="112"/>
  </cols>
  <sheetData>
    <row r="1" spans="1:14" ht="12.75" customHeight="1" x14ac:dyDescent="0.25">
      <c r="A1" s="884" t="s">
        <v>1257</v>
      </c>
      <c r="B1" s="888" t="s">
        <v>19</v>
      </c>
      <c r="C1" s="836" t="s">
        <v>128</v>
      </c>
      <c r="D1" s="889" t="s">
        <v>135</v>
      </c>
      <c r="E1" s="889"/>
      <c r="F1" s="889"/>
      <c r="G1" s="889"/>
      <c r="H1" s="889"/>
      <c r="I1" s="889"/>
      <c r="J1" s="889"/>
      <c r="K1" s="889" t="s">
        <v>197</v>
      </c>
      <c r="L1" s="889"/>
      <c r="M1" s="889"/>
      <c r="N1" s="906" t="s">
        <v>199</v>
      </c>
    </row>
    <row r="2" spans="1:14" s="113" customFormat="1" ht="78" customHeight="1" x14ac:dyDescent="0.25">
      <c r="A2" s="885"/>
      <c r="B2" s="888"/>
      <c r="C2" s="836"/>
      <c r="D2" s="119" t="s">
        <v>14</v>
      </c>
      <c r="E2" s="119" t="s">
        <v>15</v>
      </c>
      <c r="F2" s="701" t="s">
        <v>16</v>
      </c>
      <c r="G2" s="119" t="s">
        <v>193</v>
      </c>
      <c r="H2" s="701" t="s">
        <v>194</v>
      </c>
      <c r="I2" s="701" t="s">
        <v>195</v>
      </c>
      <c r="J2" s="701" t="s">
        <v>196</v>
      </c>
      <c r="K2" s="701" t="s">
        <v>137</v>
      </c>
      <c r="L2" s="701" t="s">
        <v>95</v>
      </c>
      <c r="M2" s="701" t="s">
        <v>139</v>
      </c>
      <c r="N2" s="907"/>
    </row>
    <row r="3" spans="1:14" s="113" customFormat="1" ht="15.75" customHeight="1" x14ac:dyDescent="0.25">
      <c r="A3" s="698">
        <v>2</v>
      </c>
      <c r="B3" s="690"/>
      <c r="C3" s="700" t="s">
        <v>183</v>
      </c>
      <c r="D3" s="691"/>
      <c r="E3" s="691"/>
      <c r="F3" s="692"/>
      <c r="G3" s="691"/>
      <c r="H3" s="692"/>
      <c r="I3" s="692"/>
      <c r="J3" s="692"/>
      <c r="K3" s="692"/>
      <c r="L3" s="692"/>
      <c r="M3" s="692"/>
      <c r="N3" s="693"/>
    </row>
    <row r="4" spans="1:14" ht="17.100000000000001" customHeight="1" x14ac:dyDescent="0.25">
      <c r="A4" s="687"/>
      <c r="B4" s="688">
        <v>1</v>
      </c>
      <c r="C4" s="120" t="s">
        <v>130</v>
      </c>
      <c r="D4" s="121"/>
      <c r="E4" s="121"/>
      <c r="F4" s="121"/>
      <c r="G4" s="121"/>
      <c r="H4" s="121"/>
      <c r="I4" s="121"/>
      <c r="J4" s="121"/>
      <c r="K4" s="121"/>
      <c r="L4" s="121">
        <v>2908</v>
      </c>
      <c r="M4" s="121"/>
      <c r="N4" s="121">
        <f t="shared" ref="N4:N21" si="0">SUM(D4:M4)</f>
        <v>2908</v>
      </c>
    </row>
    <row r="5" spans="1:14" ht="17.100000000000001" customHeight="1" x14ac:dyDescent="0.25">
      <c r="A5" s="687"/>
      <c r="B5" s="688">
        <v>2</v>
      </c>
      <c r="C5" s="120" t="s">
        <v>125</v>
      </c>
      <c r="D5" s="121"/>
      <c r="E5" s="121"/>
      <c r="F5" s="121"/>
      <c r="G5" s="121"/>
      <c r="H5" s="121"/>
      <c r="I5" s="121"/>
      <c r="J5" s="121"/>
      <c r="K5" s="121"/>
      <c r="L5" s="121">
        <v>367</v>
      </c>
      <c r="M5" s="121"/>
      <c r="N5" s="121">
        <f t="shared" si="0"/>
        <v>367</v>
      </c>
    </row>
    <row r="6" spans="1:14" ht="17.100000000000001" customHeight="1" x14ac:dyDescent="0.25">
      <c r="A6" s="687"/>
      <c r="B6" s="688">
        <v>3</v>
      </c>
      <c r="C6" s="120" t="s">
        <v>155</v>
      </c>
      <c r="D6" s="121"/>
      <c r="E6" s="121"/>
      <c r="F6" s="121"/>
      <c r="G6" s="121"/>
      <c r="H6" s="121"/>
      <c r="I6" s="121"/>
      <c r="J6" s="121"/>
      <c r="K6" s="121"/>
      <c r="L6" s="121">
        <v>2079</v>
      </c>
      <c r="M6" s="121"/>
      <c r="N6" s="121">
        <f t="shared" si="0"/>
        <v>2079</v>
      </c>
    </row>
    <row r="7" spans="1:14" ht="24" customHeight="1" x14ac:dyDescent="0.25">
      <c r="A7" s="687"/>
      <c r="B7" s="688">
        <v>4</v>
      </c>
      <c r="C7" s="122" t="s">
        <v>185</v>
      </c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>
        <f t="shared" si="0"/>
        <v>0</v>
      </c>
    </row>
    <row r="8" spans="1:14" ht="24" customHeight="1" x14ac:dyDescent="0.25">
      <c r="A8" s="687"/>
      <c r="B8" s="688">
        <v>5</v>
      </c>
      <c r="C8" s="122" t="s">
        <v>186</v>
      </c>
      <c r="D8" s="121"/>
      <c r="E8" s="121"/>
      <c r="F8" s="121"/>
      <c r="G8" s="121"/>
      <c r="H8" s="121"/>
      <c r="I8" s="121"/>
      <c r="J8" s="121"/>
      <c r="K8" s="121"/>
      <c r="L8" s="121">
        <v>12838</v>
      </c>
      <c r="M8" s="121"/>
      <c r="N8" s="121">
        <f t="shared" si="0"/>
        <v>12838</v>
      </c>
    </row>
    <row r="9" spans="1:14" ht="17.100000000000001" customHeight="1" x14ac:dyDescent="0.25">
      <c r="A9" s="687"/>
      <c r="B9" s="688">
        <v>6</v>
      </c>
      <c r="C9" s="123" t="s">
        <v>156</v>
      </c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>
        <f t="shared" si="0"/>
        <v>0</v>
      </c>
    </row>
    <row r="10" spans="1:14" ht="17.100000000000001" customHeight="1" x14ac:dyDescent="0.25">
      <c r="A10" s="687"/>
      <c r="B10" s="688">
        <v>7</v>
      </c>
      <c r="C10" s="123" t="s">
        <v>157</v>
      </c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>
        <f t="shared" si="0"/>
        <v>0</v>
      </c>
    </row>
    <row r="11" spans="1:14" ht="17.100000000000001" customHeight="1" x14ac:dyDescent="0.25">
      <c r="A11" s="687"/>
      <c r="B11" s="688">
        <v>8</v>
      </c>
      <c r="C11" s="123" t="s">
        <v>158</v>
      </c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>
        <f t="shared" si="0"/>
        <v>0</v>
      </c>
    </row>
    <row r="12" spans="1:14" ht="17.100000000000001" customHeight="1" x14ac:dyDescent="0.25">
      <c r="A12" s="687"/>
      <c r="B12" s="688">
        <v>9</v>
      </c>
      <c r="C12" s="123" t="s">
        <v>159</v>
      </c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>
        <f t="shared" si="0"/>
        <v>0</v>
      </c>
    </row>
    <row r="13" spans="1:14" ht="18" customHeight="1" x14ac:dyDescent="0.25">
      <c r="A13" s="687"/>
      <c r="B13" s="688">
        <v>10</v>
      </c>
      <c r="C13" s="124" t="s">
        <v>187</v>
      </c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>
        <f t="shared" si="0"/>
        <v>0</v>
      </c>
    </row>
    <row r="14" spans="1:14" ht="17.100000000000001" customHeight="1" x14ac:dyDescent="0.25">
      <c r="A14" s="687"/>
      <c r="B14" s="688">
        <v>11</v>
      </c>
      <c r="C14" s="125" t="s">
        <v>152</v>
      </c>
      <c r="D14" s="121"/>
      <c r="E14" s="121"/>
      <c r="F14" s="121"/>
      <c r="G14" s="121"/>
      <c r="H14" s="121"/>
      <c r="I14" s="121"/>
      <c r="J14" s="121"/>
      <c r="K14" s="121"/>
      <c r="L14" s="121">
        <v>12540</v>
      </c>
      <c r="M14" s="121"/>
      <c r="N14" s="121">
        <f t="shared" si="0"/>
        <v>12540</v>
      </c>
    </row>
    <row r="15" spans="1:14" ht="27" customHeight="1" x14ac:dyDescent="0.25">
      <c r="A15" s="687"/>
      <c r="B15" s="688">
        <v>12</v>
      </c>
      <c r="C15" s="122" t="s">
        <v>160</v>
      </c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>
        <f t="shared" si="0"/>
        <v>0</v>
      </c>
    </row>
    <row r="16" spans="1:14" ht="17.100000000000001" customHeight="1" x14ac:dyDescent="0.25">
      <c r="A16" s="687"/>
      <c r="B16" s="688">
        <v>13</v>
      </c>
      <c r="C16" s="123" t="s">
        <v>153</v>
      </c>
      <c r="D16" s="121"/>
      <c r="E16" s="121"/>
      <c r="F16" s="121"/>
      <c r="G16" s="121"/>
      <c r="H16" s="121"/>
      <c r="I16" s="121"/>
      <c r="J16" s="121"/>
      <c r="K16" s="121"/>
      <c r="L16" s="121"/>
      <c r="M16" s="121"/>
      <c r="N16" s="121">
        <f t="shared" si="0"/>
        <v>0</v>
      </c>
    </row>
    <row r="17" spans="1:14" ht="17.100000000000001" customHeight="1" x14ac:dyDescent="0.25">
      <c r="A17" s="687"/>
      <c r="B17" s="688">
        <v>14</v>
      </c>
      <c r="C17" s="123" t="s">
        <v>154</v>
      </c>
      <c r="D17" s="121">
        <v>2120</v>
      </c>
      <c r="E17" s="121"/>
      <c r="F17" s="121"/>
      <c r="G17" s="121"/>
      <c r="H17" s="121"/>
      <c r="I17" s="121"/>
      <c r="J17" s="121"/>
      <c r="K17" s="121"/>
      <c r="L17" s="121">
        <v>-200</v>
      </c>
      <c r="M17" s="121"/>
      <c r="N17" s="121">
        <f t="shared" si="0"/>
        <v>1920</v>
      </c>
    </row>
    <row r="18" spans="1:14" ht="17.100000000000001" customHeight="1" x14ac:dyDescent="0.25">
      <c r="A18" s="687"/>
      <c r="B18" s="688">
        <v>15</v>
      </c>
      <c r="C18" s="123" t="s">
        <v>161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1"/>
      <c r="N18" s="121">
        <f t="shared" si="0"/>
        <v>0</v>
      </c>
    </row>
    <row r="19" spans="1:14" ht="17.100000000000001" customHeight="1" x14ac:dyDescent="0.25">
      <c r="A19" s="687"/>
      <c r="B19" s="688">
        <v>16</v>
      </c>
      <c r="C19" s="123" t="s">
        <v>162</v>
      </c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>
        <f t="shared" si="0"/>
        <v>0</v>
      </c>
    </row>
    <row r="20" spans="1:14" ht="17.100000000000001" customHeight="1" x14ac:dyDescent="0.25">
      <c r="A20" s="687"/>
      <c r="B20" s="688">
        <v>17</v>
      </c>
      <c r="C20" s="123" t="s">
        <v>188</v>
      </c>
      <c r="D20" s="121"/>
      <c r="E20" s="121"/>
      <c r="F20" s="121"/>
      <c r="G20" s="121"/>
      <c r="H20" s="121"/>
      <c r="I20" s="121"/>
      <c r="J20" s="121"/>
      <c r="K20" s="121"/>
      <c r="L20" s="121"/>
      <c r="M20" s="121"/>
      <c r="N20" s="121">
        <f t="shared" si="0"/>
        <v>0</v>
      </c>
    </row>
    <row r="21" spans="1:14" ht="17.100000000000001" customHeight="1" x14ac:dyDescent="0.25">
      <c r="A21" s="687"/>
      <c r="B21" s="688">
        <v>18</v>
      </c>
      <c r="C21" s="123" t="s">
        <v>191</v>
      </c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>
        <f t="shared" si="0"/>
        <v>0</v>
      </c>
    </row>
    <row r="22" spans="1:14" ht="14.25" customHeight="1" x14ac:dyDescent="0.25">
      <c r="A22" s="694"/>
      <c r="B22" s="686"/>
      <c r="C22" s="126" t="s">
        <v>13</v>
      </c>
      <c r="D22" s="127">
        <f t="shared" ref="D22:N22" si="1">SUM(D4:D21)</f>
        <v>2120</v>
      </c>
      <c r="E22" s="127">
        <f t="shared" si="1"/>
        <v>0</v>
      </c>
      <c r="F22" s="127">
        <f t="shared" si="1"/>
        <v>0</v>
      </c>
      <c r="G22" s="127">
        <f t="shared" si="1"/>
        <v>0</v>
      </c>
      <c r="H22" s="127">
        <f t="shared" si="1"/>
        <v>0</v>
      </c>
      <c r="I22" s="127">
        <f t="shared" si="1"/>
        <v>0</v>
      </c>
      <c r="J22" s="127">
        <f t="shared" si="1"/>
        <v>0</v>
      </c>
      <c r="K22" s="127">
        <f t="shared" si="1"/>
        <v>0</v>
      </c>
      <c r="L22" s="127">
        <f t="shared" si="1"/>
        <v>30532</v>
      </c>
      <c r="M22" s="127">
        <f t="shared" si="1"/>
        <v>0</v>
      </c>
      <c r="N22" s="127">
        <f t="shared" si="1"/>
        <v>32652</v>
      </c>
    </row>
    <row r="23" spans="1:14" ht="14.1" customHeight="1" x14ac:dyDescent="0.25">
      <c r="D23" s="114"/>
      <c r="E23" s="114"/>
      <c r="F23" s="114"/>
      <c r="G23" s="114"/>
      <c r="H23" s="114"/>
      <c r="I23" s="114"/>
      <c r="J23" s="114"/>
      <c r="K23" s="114"/>
      <c r="L23" s="114"/>
    </row>
    <row r="24" spans="1:14" ht="14.1" customHeight="1" x14ac:dyDescent="0.25">
      <c r="D24" s="114"/>
      <c r="E24" s="114"/>
      <c r="F24" s="114"/>
      <c r="G24" s="114"/>
      <c r="H24" s="114"/>
      <c r="I24" s="114"/>
      <c r="J24" s="114"/>
      <c r="K24" s="114"/>
      <c r="L24" s="114"/>
    </row>
    <row r="25" spans="1:14" ht="14.1" customHeight="1" x14ac:dyDescent="0.25">
      <c r="D25" s="114"/>
      <c r="E25" s="114"/>
      <c r="F25" s="114"/>
      <c r="G25" s="114"/>
      <c r="H25" s="114"/>
      <c r="I25" s="114"/>
      <c r="J25" s="114"/>
      <c r="K25" s="114"/>
      <c r="L25" s="128"/>
    </row>
    <row r="26" spans="1:14" ht="14.1" customHeight="1" x14ac:dyDescent="0.25">
      <c r="D26" s="114"/>
      <c r="E26" s="114"/>
      <c r="F26" s="114"/>
      <c r="G26" s="114"/>
      <c r="H26" s="114"/>
      <c r="I26" s="114"/>
      <c r="J26" s="114"/>
      <c r="K26" s="114"/>
      <c r="L26" s="128"/>
    </row>
    <row r="27" spans="1:14" ht="14.1" customHeight="1" x14ac:dyDescent="0.25">
      <c r="D27" s="114"/>
      <c r="E27" s="114"/>
      <c r="F27" s="114"/>
      <c r="G27" s="114"/>
      <c r="H27" s="114"/>
      <c r="I27" s="114"/>
      <c r="J27" s="114"/>
      <c r="K27" s="114"/>
      <c r="L27" s="114"/>
    </row>
    <row r="28" spans="1:14" ht="14.1" customHeight="1" x14ac:dyDescent="0.25"/>
    <row r="29" spans="1:14" ht="14.1" customHeight="1" x14ac:dyDescent="0.25"/>
    <row r="30" spans="1:14" ht="14.1" customHeight="1" x14ac:dyDescent="0.25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 MEGYEI JOGÚ VÁROS ÖNKORMÁNYZATA ÁLTAL IRÁNYÍTOTT KÖLTSÉGVETÉSI SZERVEK
  2022. ÉVI  BEVÉTELI ELŐIRÁNYZATAINAK MÓDOSÍTÁSA&amp;R&amp;"Times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M27"/>
  <sheetViews>
    <sheetView zoomScale="110" workbookViewId="0">
      <pane ySplit="2" topLeftCell="A9" activePane="bottomLeft" state="frozen"/>
      <selection activeCell="I15" sqref="I15"/>
      <selection pane="bottomLeft" activeCell="M22" sqref="M22"/>
    </sheetView>
  </sheetViews>
  <sheetFormatPr defaultColWidth="9.33203125" defaultRowHeight="11.4" x14ac:dyDescent="0.2"/>
  <cols>
    <col min="1" max="1" width="3" style="19" customWidth="1"/>
    <col min="2" max="2" width="3.77734375" style="19" customWidth="1"/>
    <col min="3" max="3" width="38.33203125" style="19" customWidth="1"/>
    <col min="4" max="4" width="10" style="19" customWidth="1"/>
    <col min="5" max="5" width="11.77734375" style="19" customWidth="1"/>
    <col min="6" max="6" width="9.77734375" style="19" customWidth="1"/>
    <col min="7" max="8" width="10.44140625" style="19" customWidth="1"/>
    <col min="9" max="9" width="11.109375" style="19" customWidth="1"/>
    <col min="10" max="10" width="11.77734375" style="19" customWidth="1"/>
    <col min="11" max="11" width="9.44140625" style="19" customWidth="1"/>
    <col min="12" max="12" width="8.109375" style="19" customWidth="1"/>
    <col min="13" max="13" width="10.77734375" style="31" customWidth="1"/>
    <col min="14" max="16384" width="9.33203125" style="19"/>
  </cols>
  <sheetData>
    <row r="1" spans="1:13" ht="12.75" customHeight="1" x14ac:dyDescent="0.25">
      <c r="A1" s="843" t="s">
        <v>89</v>
      </c>
      <c r="B1" s="891" t="s">
        <v>19</v>
      </c>
      <c r="C1" s="843" t="s">
        <v>128</v>
      </c>
      <c r="D1" s="842" t="s">
        <v>134</v>
      </c>
      <c r="E1" s="842"/>
      <c r="F1" s="842"/>
      <c r="G1" s="842"/>
      <c r="H1" s="842"/>
      <c r="I1" s="842"/>
      <c r="J1" s="842"/>
      <c r="K1" s="842"/>
      <c r="L1" s="843" t="s">
        <v>133</v>
      </c>
      <c r="M1" s="843" t="s">
        <v>181</v>
      </c>
    </row>
    <row r="2" spans="1:13" s="28" customFormat="1" ht="60" customHeight="1" x14ac:dyDescent="0.25">
      <c r="A2" s="843"/>
      <c r="B2" s="892"/>
      <c r="C2" s="843"/>
      <c r="D2" s="703" t="s">
        <v>113</v>
      </c>
      <c r="E2" s="703" t="s">
        <v>198</v>
      </c>
      <c r="F2" s="703" t="s">
        <v>192</v>
      </c>
      <c r="G2" s="703" t="s">
        <v>17</v>
      </c>
      <c r="H2" s="703" t="s">
        <v>24</v>
      </c>
      <c r="I2" s="703" t="s">
        <v>22</v>
      </c>
      <c r="J2" s="703" t="s">
        <v>21</v>
      </c>
      <c r="K2" s="703" t="s">
        <v>18</v>
      </c>
      <c r="L2" s="890"/>
      <c r="M2" s="843"/>
    </row>
    <row r="3" spans="1:13" s="28" customFormat="1" ht="17.25" customHeight="1" x14ac:dyDescent="0.25">
      <c r="A3" s="699">
        <v>2</v>
      </c>
      <c r="B3" s="696"/>
      <c r="C3" s="700" t="s">
        <v>183</v>
      </c>
      <c r="D3" s="696"/>
      <c r="E3" s="696"/>
      <c r="F3" s="696"/>
      <c r="G3" s="696"/>
      <c r="H3" s="696"/>
      <c r="I3" s="696"/>
      <c r="J3" s="696"/>
      <c r="K3" s="696"/>
      <c r="L3" s="697"/>
      <c r="M3" s="696"/>
    </row>
    <row r="4" spans="1:13" s="28" customFormat="1" ht="15" customHeight="1" x14ac:dyDescent="0.25">
      <c r="A4" s="129"/>
      <c r="B4" s="688">
        <v>1</v>
      </c>
      <c r="C4" s="130" t="s">
        <v>130</v>
      </c>
      <c r="D4" s="131">
        <v>2573</v>
      </c>
      <c r="E4" s="131">
        <v>335</v>
      </c>
      <c r="F4" s="131"/>
      <c r="G4" s="131"/>
      <c r="H4" s="131"/>
      <c r="I4" s="131"/>
      <c r="J4" s="131"/>
      <c r="K4" s="131"/>
      <c r="L4" s="131"/>
      <c r="M4" s="131">
        <f t="shared" ref="M4:M21" si="0">SUM(D4:L4)</f>
        <v>2908</v>
      </c>
    </row>
    <row r="5" spans="1:13" s="28" customFormat="1" ht="15" customHeight="1" x14ac:dyDescent="0.25">
      <c r="A5" s="129"/>
      <c r="B5" s="688">
        <v>2</v>
      </c>
      <c r="C5" s="130" t="s">
        <v>125</v>
      </c>
      <c r="D5" s="131"/>
      <c r="E5" s="131"/>
      <c r="F5" s="131">
        <v>367</v>
      </c>
      <c r="G5" s="131"/>
      <c r="H5" s="131"/>
      <c r="I5" s="131"/>
      <c r="J5" s="131"/>
      <c r="K5" s="131"/>
      <c r="L5" s="131"/>
      <c r="M5" s="131">
        <f t="shared" si="0"/>
        <v>367</v>
      </c>
    </row>
    <row r="6" spans="1:13" s="28" customFormat="1" ht="15" customHeight="1" x14ac:dyDescent="0.25">
      <c r="A6" s="129"/>
      <c r="B6" s="688">
        <v>3</v>
      </c>
      <c r="C6" s="130" t="s">
        <v>155</v>
      </c>
      <c r="D6" s="131">
        <v>1821</v>
      </c>
      <c r="E6" s="131">
        <v>258</v>
      </c>
      <c r="F6" s="131"/>
      <c r="G6" s="131"/>
      <c r="H6" s="131"/>
      <c r="I6" s="131"/>
      <c r="J6" s="131"/>
      <c r="K6" s="131"/>
      <c r="L6" s="131"/>
      <c r="M6" s="131">
        <f t="shared" si="0"/>
        <v>2079</v>
      </c>
    </row>
    <row r="7" spans="1:13" s="28" customFormat="1" ht="23.25" customHeight="1" x14ac:dyDescent="0.25">
      <c r="A7" s="129"/>
      <c r="B7" s="688">
        <v>4</v>
      </c>
      <c r="C7" s="122" t="s">
        <v>185</v>
      </c>
      <c r="D7" s="131"/>
      <c r="E7" s="131"/>
      <c r="F7" s="131"/>
      <c r="G7" s="131"/>
      <c r="H7" s="131"/>
      <c r="I7" s="131"/>
      <c r="J7" s="131"/>
      <c r="K7" s="131"/>
      <c r="L7" s="131"/>
      <c r="M7" s="131">
        <f t="shared" si="0"/>
        <v>0</v>
      </c>
    </row>
    <row r="8" spans="1:13" s="28" customFormat="1" ht="26.25" customHeight="1" x14ac:dyDescent="0.25">
      <c r="A8" s="129"/>
      <c r="B8" s="688">
        <v>5</v>
      </c>
      <c r="C8" s="122" t="s">
        <v>186</v>
      </c>
      <c r="D8" s="131">
        <v>9061</v>
      </c>
      <c r="E8" s="131">
        <v>1277</v>
      </c>
      <c r="F8" s="131"/>
      <c r="G8" s="131">
        <v>2500</v>
      </c>
      <c r="H8" s="131"/>
      <c r="I8" s="131"/>
      <c r="J8" s="131"/>
      <c r="K8" s="131"/>
      <c r="L8" s="131"/>
      <c r="M8" s="131">
        <f t="shared" si="0"/>
        <v>12838</v>
      </c>
    </row>
    <row r="9" spans="1:13" s="28" customFormat="1" ht="15" customHeight="1" x14ac:dyDescent="0.25">
      <c r="A9" s="129"/>
      <c r="B9" s="688">
        <v>6</v>
      </c>
      <c r="C9" s="123" t="s">
        <v>156</v>
      </c>
      <c r="D9" s="131"/>
      <c r="E9" s="131"/>
      <c r="F9" s="131">
        <v>-1500</v>
      </c>
      <c r="G9" s="131"/>
      <c r="H9" s="131"/>
      <c r="I9" s="131">
        <v>1500</v>
      </c>
      <c r="J9" s="131"/>
      <c r="K9" s="131"/>
      <c r="L9" s="131"/>
      <c r="M9" s="131">
        <f t="shared" si="0"/>
        <v>0</v>
      </c>
    </row>
    <row r="10" spans="1:13" s="28" customFormat="1" ht="15" customHeight="1" x14ac:dyDescent="0.25">
      <c r="A10" s="129"/>
      <c r="B10" s="688">
        <v>7</v>
      </c>
      <c r="C10" s="123" t="s">
        <v>157</v>
      </c>
      <c r="D10" s="131"/>
      <c r="E10" s="131"/>
      <c r="F10" s="131"/>
      <c r="G10" s="131"/>
      <c r="H10" s="131"/>
      <c r="I10" s="131"/>
      <c r="J10" s="131"/>
      <c r="K10" s="131"/>
      <c r="L10" s="131"/>
      <c r="M10" s="131">
        <f t="shared" si="0"/>
        <v>0</v>
      </c>
    </row>
    <row r="11" spans="1:13" s="29" customFormat="1" ht="15" customHeight="1" x14ac:dyDescent="0.25">
      <c r="A11" s="129"/>
      <c r="B11" s="688">
        <v>8</v>
      </c>
      <c r="C11" s="123" t="s">
        <v>158</v>
      </c>
      <c r="D11" s="5"/>
      <c r="E11" s="5"/>
      <c r="F11" s="5"/>
      <c r="G11" s="5"/>
      <c r="H11" s="5"/>
      <c r="I11" s="5"/>
      <c r="J11" s="5"/>
      <c r="K11" s="5"/>
      <c r="L11" s="5"/>
      <c r="M11" s="131">
        <f t="shared" si="0"/>
        <v>0</v>
      </c>
    </row>
    <row r="12" spans="1:13" s="29" customFormat="1" ht="17.25" customHeight="1" x14ac:dyDescent="0.25">
      <c r="A12" s="129"/>
      <c r="B12" s="688">
        <v>9</v>
      </c>
      <c r="C12" s="123" t="s">
        <v>159</v>
      </c>
      <c r="D12" s="5"/>
      <c r="E12" s="5"/>
      <c r="F12" s="5">
        <v>-195</v>
      </c>
      <c r="G12" s="5"/>
      <c r="H12" s="5"/>
      <c r="I12" s="5"/>
      <c r="J12" s="5">
        <v>195</v>
      </c>
      <c r="K12" s="5"/>
      <c r="L12" s="5"/>
      <c r="M12" s="131">
        <f t="shared" si="0"/>
        <v>0</v>
      </c>
    </row>
    <row r="13" spans="1:13" s="29" customFormat="1" ht="18.75" customHeight="1" x14ac:dyDescent="0.25">
      <c r="A13" s="129"/>
      <c r="B13" s="688">
        <v>10</v>
      </c>
      <c r="C13" s="124" t="s">
        <v>187</v>
      </c>
      <c r="D13" s="5"/>
      <c r="E13" s="5"/>
      <c r="F13" s="5"/>
      <c r="G13" s="5"/>
      <c r="H13" s="5"/>
      <c r="I13" s="5"/>
      <c r="J13" s="5"/>
      <c r="K13" s="5"/>
      <c r="L13" s="5"/>
      <c r="M13" s="131">
        <f t="shared" si="0"/>
        <v>0</v>
      </c>
    </row>
    <row r="14" spans="1:13" s="29" customFormat="1" ht="14.1" customHeight="1" x14ac:dyDescent="0.25">
      <c r="A14" s="129"/>
      <c r="B14" s="688">
        <v>11</v>
      </c>
      <c r="C14" s="125" t="s">
        <v>152</v>
      </c>
      <c r="D14" s="5"/>
      <c r="E14" s="5"/>
      <c r="F14" s="5"/>
      <c r="G14" s="5"/>
      <c r="H14" s="5"/>
      <c r="I14" s="5">
        <v>12540</v>
      </c>
      <c r="J14" s="5"/>
      <c r="K14" s="5"/>
      <c r="L14" s="5"/>
      <c r="M14" s="131">
        <f t="shared" si="0"/>
        <v>12540</v>
      </c>
    </row>
    <row r="15" spans="1:13" s="29" customFormat="1" ht="24.75" customHeight="1" x14ac:dyDescent="0.25">
      <c r="A15" s="129"/>
      <c r="B15" s="688">
        <v>12</v>
      </c>
      <c r="C15" s="122" t="s">
        <v>160</v>
      </c>
      <c r="D15" s="5"/>
      <c r="E15" s="5"/>
      <c r="F15" s="5"/>
      <c r="G15" s="5"/>
      <c r="H15" s="5"/>
      <c r="I15" s="5"/>
      <c r="J15" s="5"/>
      <c r="K15" s="5"/>
      <c r="L15" s="5"/>
      <c r="M15" s="131">
        <f t="shared" si="0"/>
        <v>0</v>
      </c>
    </row>
    <row r="16" spans="1:13" s="29" customFormat="1" ht="14.1" customHeight="1" x14ac:dyDescent="0.25">
      <c r="A16" s="129"/>
      <c r="B16" s="688">
        <v>13</v>
      </c>
      <c r="C16" s="123" t="s">
        <v>153</v>
      </c>
      <c r="D16" s="5"/>
      <c r="E16" s="5"/>
      <c r="F16" s="5"/>
      <c r="G16" s="5"/>
      <c r="H16" s="5"/>
      <c r="I16" s="5"/>
      <c r="J16" s="5"/>
      <c r="K16" s="5"/>
      <c r="L16" s="5"/>
      <c r="M16" s="131">
        <f t="shared" si="0"/>
        <v>0</v>
      </c>
    </row>
    <row r="17" spans="1:13" s="29" customFormat="1" ht="14.1" customHeight="1" x14ac:dyDescent="0.25">
      <c r="A17" s="129"/>
      <c r="B17" s="688">
        <v>14</v>
      </c>
      <c r="C17" s="123" t="s">
        <v>154</v>
      </c>
      <c r="D17" s="5"/>
      <c r="E17" s="5"/>
      <c r="F17" s="5">
        <v>6</v>
      </c>
      <c r="G17" s="5"/>
      <c r="H17" s="5">
        <v>1914</v>
      </c>
      <c r="I17" s="5"/>
      <c r="J17" s="5"/>
      <c r="K17" s="5"/>
      <c r="L17" s="5"/>
      <c r="M17" s="131">
        <f t="shared" si="0"/>
        <v>1920</v>
      </c>
    </row>
    <row r="18" spans="1:13" s="29" customFormat="1" ht="12.9" customHeight="1" x14ac:dyDescent="0.25">
      <c r="A18" s="129"/>
      <c r="B18" s="688">
        <v>15</v>
      </c>
      <c r="C18" s="123" t="s">
        <v>161</v>
      </c>
      <c r="D18" s="5"/>
      <c r="E18" s="5"/>
      <c r="F18" s="5"/>
      <c r="G18" s="5"/>
      <c r="H18" s="5"/>
      <c r="I18" s="5"/>
      <c r="J18" s="5"/>
      <c r="K18" s="5"/>
      <c r="L18" s="5"/>
      <c r="M18" s="131">
        <f t="shared" si="0"/>
        <v>0</v>
      </c>
    </row>
    <row r="19" spans="1:13" s="29" customFormat="1" ht="12.9" customHeight="1" x14ac:dyDescent="0.25">
      <c r="A19" s="129"/>
      <c r="B19" s="688">
        <v>16</v>
      </c>
      <c r="C19" s="123" t="s">
        <v>162</v>
      </c>
      <c r="D19" s="5"/>
      <c r="E19" s="5"/>
      <c r="F19" s="5">
        <v>-10000</v>
      </c>
      <c r="G19" s="5"/>
      <c r="H19" s="5"/>
      <c r="I19" s="5">
        <v>10000</v>
      </c>
      <c r="J19" s="5"/>
      <c r="K19" s="5"/>
      <c r="L19" s="5"/>
      <c r="M19" s="131">
        <f t="shared" si="0"/>
        <v>0</v>
      </c>
    </row>
    <row r="20" spans="1:13" s="29" customFormat="1" ht="15.75" customHeight="1" x14ac:dyDescent="0.25">
      <c r="A20" s="129"/>
      <c r="B20" s="688">
        <v>17</v>
      </c>
      <c r="C20" s="123" t="s">
        <v>188</v>
      </c>
      <c r="D20" s="87"/>
      <c r="E20" s="87"/>
      <c r="F20" s="87"/>
      <c r="G20" s="87"/>
      <c r="H20" s="87"/>
      <c r="I20" s="87"/>
      <c r="J20" s="87"/>
      <c r="K20" s="87"/>
      <c r="L20" s="87"/>
      <c r="M20" s="131">
        <f t="shared" si="0"/>
        <v>0</v>
      </c>
    </row>
    <row r="21" spans="1:13" s="1" customFormat="1" ht="12" x14ac:dyDescent="0.25">
      <c r="A21" s="129"/>
      <c r="B21" s="688">
        <v>18</v>
      </c>
      <c r="C21" s="123" t="s">
        <v>191</v>
      </c>
      <c r="D21" s="10"/>
      <c r="E21" s="10"/>
      <c r="F21" s="10"/>
      <c r="G21" s="10"/>
      <c r="H21" s="10"/>
      <c r="I21" s="10"/>
      <c r="J21" s="10"/>
      <c r="K21" s="10"/>
      <c r="L21" s="10"/>
      <c r="M21" s="131">
        <f t="shared" si="0"/>
        <v>0</v>
      </c>
    </row>
    <row r="22" spans="1:13" s="1" customFormat="1" ht="12" x14ac:dyDescent="0.25">
      <c r="A22" s="704"/>
      <c r="B22" s="695"/>
      <c r="C22" s="133" t="s">
        <v>13</v>
      </c>
      <c r="D22" s="89">
        <f t="shared" ref="D22:M22" si="1">SUM(D4:D21)</f>
        <v>13455</v>
      </c>
      <c r="E22" s="89">
        <f t="shared" si="1"/>
        <v>1870</v>
      </c>
      <c r="F22" s="89">
        <f t="shared" si="1"/>
        <v>-11322</v>
      </c>
      <c r="G22" s="89">
        <f t="shared" si="1"/>
        <v>2500</v>
      </c>
      <c r="H22" s="89">
        <f t="shared" si="1"/>
        <v>1914</v>
      </c>
      <c r="I22" s="89">
        <f t="shared" si="1"/>
        <v>24040</v>
      </c>
      <c r="J22" s="89">
        <f t="shared" si="1"/>
        <v>195</v>
      </c>
      <c r="K22" s="89">
        <f t="shared" si="1"/>
        <v>0</v>
      </c>
      <c r="L22" s="89">
        <f t="shared" si="1"/>
        <v>0</v>
      </c>
      <c r="M22" s="89">
        <f t="shared" si="1"/>
        <v>32652</v>
      </c>
    </row>
    <row r="23" spans="1:13" s="1" customFormat="1" x14ac:dyDescent="0.25">
      <c r="M23" s="20"/>
    </row>
    <row r="24" spans="1:13" s="1" customFormat="1" x14ac:dyDescent="0.25">
      <c r="C24" s="15"/>
      <c r="M24" s="20"/>
    </row>
    <row r="25" spans="1:13" s="1" customFormat="1" x14ac:dyDescent="0.25">
      <c r="M25" s="20"/>
    </row>
    <row r="26" spans="1:13" s="1" customFormat="1" x14ac:dyDescent="0.25">
      <c r="M26" s="20"/>
    </row>
    <row r="27" spans="1:13" s="1" customFormat="1" x14ac:dyDescent="0.25">
      <c r="D27" s="15"/>
      <c r="M27" s="20"/>
    </row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2022.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Galos</cp:lastModifiedBy>
  <cp:lastPrinted>2022-04-01T07:00:17Z</cp:lastPrinted>
  <dcterms:created xsi:type="dcterms:W3CDTF">2002-12-30T13:12:46Z</dcterms:created>
  <dcterms:modified xsi:type="dcterms:W3CDTF">2022-04-01T09:22:19Z</dcterms:modified>
</cp:coreProperties>
</file>